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en.robinson\Documents\"/>
    </mc:Choice>
  </mc:AlternateContent>
  <xr:revisionPtr revIDLastSave="0" documentId="8_{4EDBF074-CE0A-49FE-99B0-8366BAF10192}" xr6:coauthVersionLast="45" xr6:coauthVersionMax="45" xr10:uidLastSave="{00000000-0000-0000-0000-000000000000}"/>
  <bookViews>
    <workbookView xWindow="-23715" yWindow="1665" windowWidth="21600" windowHeight="11385" firstSheet="1" activeTab="3" xr2:uid="{00000000-000D-0000-FFFF-FFFF00000000}"/>
  </bookViews>
  <sheets>
    <sheet name="Sheet1" sheetId="25" state="hidden" r:id="rId1"/>
    <sheet name="TABLE OF CONTENTS" sheetId="92" r:id="rId2"/>
    <sheet name="BUDGET SUMMARY SUGGESSTIONS" sheetId="91" r:id="rId3"/>
    <sheet name="GENERAL FUND SUMMARY" sheetId="26" r:id="rId4"/>
    <sheet name="GENERAL FUND REVENUE" sheetId="59" r:id="rId5"/>
    <sheet name="51100" sheetId="2" r:id="rId6"/>
    <sheet name="51101 COURTHSE EXP" sheetId="70" r:id="rId7"/>
    <sheet name="51102 CRT HOUSE ANNEX II" sheetId="71" r:id="rId8"/>
    <sheet name="51210" sheetId="31" r:id="rId9"/>
    <sheet name="51212" sheetId="32" r:id="rId10"/>
    <sheet name="51220" sheetId="33" r:id="rId11"/>
    <sheet name="51260" sheetId="34" r:id="rId12"/>
    <sheet name="51300" sheetId="30" r:id="rId13"/>
    <sheet name="51600" sheetId="3" r:id="rId14"/>
    <sheet name="51910" sheetId="36" r:id="rId15"/>
    <sheet name="51920" sheetId="37" r:id="rId16"/>
    <sheet name="52100" sheetId="4" r:id="rId17"/>
    <sheet name="52300" sheetId="66" r:id="rId18"/>
    <sheet name="52900" sheetId="39" r:id="rId19"/>
    <sheet name="52950" sheetId="52" r:id="rId20"/>
    <sheet name="55100" sheetId="42" r:id="rId21"/>
    <sheet name="55200" sheetId="41" r:id="rId22"/>
    <sheet name="55450" sheetId="90" r:id="rId23"/>
    <sheet name="56300" sheetId="48" r:id="rId24"/>
    <sheet name="57000" sheetId="47" r:id="rId25"/>
    <sheet name="57100" sheetId="46" r:id="rId26"/>
    <sheet name="58100" sheetId="40" r:id="rId27"/>
    <sheet name="58201" sheetId="54" r:id="rId28"/>
    <sheet name="59200" sheetId="50" r:id="rId29"/>
    <sheet name="111 Revenue-Other Sources" sheetId="9" r:id="rId30"/>
    <sheet name="111-53700-Expenses" sheetId="7" r:id="rId31"/>
    <sheet name="111-Summary" sheetId="27" r:id="rId32"/>
    <sheet name="050-Debt Reduction" sheetId="60" r:id="rId33"/>
    <sheet name="112 Rev &amp; Exp Other Source-Uses" sheetId="10" r:id="rId34"/>
    <sheet name="113-Rev and other sources" sheetId="11" r:id="rId35"/>
    <sheet name="116-Revenue &amp; Exp" sheetId="29" r:id="rId36"/>
    <sheet name="117-Rev-Other Sources &amp; Expense" sheetId="12" r:id="rId37"/>
    <sheet name="118-Revenue &amp; Expenses" sheetId="19" r:id="rId38"/>
    <sheet name="119-Revenues &amp; Expenses" sheetId="65" r:id="rId39"/>
    <sheet name="152 Civil Defense" sheetId="55" r:id="rId40"/>
    <sheet name="511-SOLID WASTE " sheetId="72" r:id="rId41"/>
    <sheet name="MOTOR VEHICLE TRAINING" sheetId="68" r:id="rId42"/>
    <sheet name="MANUFACTURED HOMES" sheetId="73" r:id="rId43"/>
    <sheet name="SHERIFF CONDEMNATION" sheetId="83" r:id="rId44"/>
    <sheet name="PC DIALYSIS RENTAL" sheetId="89" r:id="rId45"/>
    <sheet name="2007 PBA WARRANT (JAIL LEASE)" sheetId="84" r:id="rId46"/>
    <sheet name="2007 GEN OBLIG WRNT" sheetId="88" r:id="rId47"/>
    <sheet name="2010-A GEN OBLIG WRNT (HOTEL)" sheetId="87" r:id="rId48"/>
    <sheet name="2010-B GEN OBLIG WRNT (RENOVAT)" sheetId="86" r:id="rId49"/>
    <sheet name="2013-A GEN OBLIG WRNT" sheetId="85" r:id="rId50"/>
    <sheet name="2013-B GEN OBLIG WRNT" sheetId="82" r:id="rId51"/>
    <sheet name="DEBT SERVICE" sheetId="74" r:id="rId52"/>
    <sheet name="PC HISTORIC JAIL FUND" sheetId="93" r:id="rId53"/>
    <sheet name="REBUILD AMERICA" sheetId="94" r:id="rId54"/>
    <sheet name="FEDERAL EXCHANGE" sheetId="95" r:id="rId55"/>
  </sheets>
  <externalReferences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_xlnm.Print_Area" localSheetId="32">'050-Debt Reduction'!$A$1:$I$20</definedName>
    <definedName name="_xlnm.Print_Area" localSheetId="29">'111 Revenue-Other Sources'!$B$1:$T$38</definedName>
    <definedName name="_xlnm.Print_Area" localSheetId="30">'111-53700-Expenses'!$B$5:$T$91</definedName>
    <definedName name="_xlnm.Print_Area" localSheetId="31">'111-Summary'!$A$1:$AA$25</definedName>
    <definedName name="_xlnm.Print_Area" localSheetId="33">'112 Rev &amp; Exp Other Source-Uses'!$A$1:$L$18</definedName>
    <definedName name="_xlnm.Print_Area" localSheetId="34">'113-Rev and other sources'!$A$1:$O$17</definedName>
    <definedName name="_xlnm.Print_Area" localSheetId="35">'116-Revenue &amp; Exp'!$A$1:$N$17</definedName>
    <definedName name="_xlnm.Print_Area" localSheetId="36">'117-Rev-Other Sources &amp; Expense'!$A$1:$Q$24</definedName>
    <definedName name="_xlnm.Print_Area" localSheetId="37">'118-Revenue &amp; Expenses'!$A$1:$N$16</definedName>
    <definedName name="_xlnm.Print_Area" localSheetId="38">'119-Revenues &amp; Expenses'!$A$1:$J$14</definedName>
    <definedName name="_xlnm.Print_Area" localSheetId="39">'152 Civil Defense'!$A$1:$O$56</definedName>
    <definedName name="_xlnm.Print_Area" localSheetId="46">'2007 GEN OBLIG WRNT'!$A$1:$F$14</definedName>
    <definedName name="_xlnm.Print_Area" localSheetId="45">'2007 PBA WARRANT (JAIL LEASE)'!$A$1:$F$16</definedName>
    <definedName name="_xlnm.Print_Area" localSheetId="47">'2010-A GEN OBLIG WRNT (HOTEL)'!$A$1:$F$14</definedName>
    <definedName name="_xlnm.Print_Area" localSheetId="48">'2010-B GEN OBLIG WRNT (RENOVAT)'!$A$1:$F$15</definedName>
    <definedName name="_xlnm.Print_Area" localSheetId="49">'2013-A GEN OBLIG WRNT'!$A$1:$F$16</definedName>
    <definedName name="_xlnm.Print_Area" localSheetId="50">'2013-B GEN OBLIG WRNT'!$A$1:$F$16</definedName>
    <definedName name="_xlnm.Print_Area" localSheetId="5">'51100'!$B$1:$AC$56</definedName>
    <definedName name="_xlnm.Print_Area" localSheetId="6">'51101 COURTHSE EXP'!$C$2:$U$31</definedName>
    <definedName name="_xlnm.Print_Area" localSheetId="7">'51102 CRT HOUSE ANNEX II'!$C$2:$V$23</definedName>
    <definedName name="_xlnm.Print_Area" localSheetId="40">'511-SOLID WASTE '!$C$2:$N$31</definedName>
    <definedName name="_xlnm.Print_Area" localSheetId="8">'51210'!$A$1:$S$7</definedName>
    <definedName name="_xlnm.Print_Area" localSheetId="9">'51212'!$B$1:$R$19</definedName>
    <definedName name="_xlnm.Print_Area" localSheetId="10">'51220'!$A$1:$S$23</definedName>
    <definedName name="_xlnm.Print_Area" localSheetId="11">'51260'!$B$1:$S$17</definedName>
    <definedName name="_xlnm.Print_Area" localSheetId="12">'51300'!$C$1:$X$37</definedName>
    <definedName name="_xlnm.Print_Area" localSheetId="13">'51600'!$A$1:$V$38</definedName>
    <definedName name="_xlnm.Print_Area" localSheetId="14">'51910'!$A$1:$R$20</definedName>
    <definedName name="_xlnm.Print_Area" localSheetId="15">'51920'!$C$1:$U$23</definedName>
    <definedName name="_xlnm.Print_Area" localSheetId="16">'52100'!$A$1:$V$59</definedName>
    <definedName name="_xlnm.Print_Area" localSheetId="17">'52300'!$A$1:$S$7</definedName>
    <definedName name="_xlnm.Print_Area" localSheetId="18">'52900'!$A$1:$S$6</definedName>
    <definedName name="_xlnm.Print_Area" localSheetId="19">'52950'!$A$1:$S$11</definedName>
    <definedName name="_xlnm.Print_Area" localSheetId="20">'55100'!$A$1:$M$9</definedName>
    <definedName name="_xlnm.Print_Area" localSheetId="21">'55200'!$A$1:$M$11</definedName>
    <definedName name="_xlnm.Print_Area" localSheetId="22">'55450'!$A$1:$K$8</definedName>
    <definedName name="_xlnm.Print_Area" localSheetId="23">'56300'!$A$1:$R$27</definedName>
    <definedName name="_xlnm.Print_Area" localSheetId="24">'57000'!$A$1:$E$12</definedName>
    <definedName name="_xlnm.Print_Area" localSheetId="25">'57100'!$A$1:$V$15</definedName>
    <definedName name="_xlnm.Print_Area" localSheetId="26">'58100'!$A$1:$O$11</definedName>
    <definedName name="_xlnm.Print_Area" localSheetId="27">'58201'!$A$1:$M$15</definedName>
    <definedName name="_xlnm.Print_Area" localSheetId="28">'59200'!$A$1:$O$17</definedName>
    <definedName name="_xlnm.Print_Area" localSheetId="2">'BUDGET SUMMARY SUGGESSTIONS'!$B$2:$N$20</definedName>
    <definedName name="_xlnm.Print_Area" localSheetId="51">'DEBT SERVICE'!$A$1:$F$22</definedName>
    <definedName name="_xlnm.Print_Area" localSheetId="54">'FEDERAL EXCHANGE'!$A$1:$D$14</definedName>
    <definedName name="_xlnm.Print_Area" localSheetId="4">'GENERAL FUND REVENUE'!$F$6:$AB$79</definedName>
    <definedName name="_xlnm.Print_Area" localSheetId="3">'GENERAL FUND SUMMARY'!$A$1:$AO$90</definedName>
    <definedName name="_xlnm.Print_Area" localSheetId="42">'MANUFACTURED HOMES'!$A$1:$J$15</definedName>
    <definedName name="_xlnm.Print_Area" localSheetId="41">'MOTOR VEHICLE TRAINING'!$A$1:$J$15</definedName>
    <definedName name="_xlnm.Print_Area" localSheetId="44">'PC DIALYSIS RENTAL'!$A$1:$G$14</definedName>
    <definedName name="_xlnm.Print_Area" localSheetId="52">'PC HISTORIC JAIL FUND'!$A$1:$E$15</definedName>
    <definedName name="_xlnm.Print_Area" localSheetId="53">'REBUILD AMERICA'!$A$1:$D$14</definedName>
    <definedName name="_xlnm.Print_Area" localSheetId="43">'SHERIFF CONDEMNATION'!$A$1:$G$14</definedName>
    <definedName name="_xlnm.Print_Area" localSheetId="1">'TABLE OF CONTENTS'!$B$3:$D$51</definedName>
    <definedName name="_xlnm.Print_Titles" localSheetId="29">'111 Revenue-Other Sources'!$1:$4</definedName>
    <definedName name="_xlnm.Print_Titles" localSheetId="30">'111-53700-Expenses'!$1:$4</definedName>
    <definedName name="_xlnm.Print_Titles" localSheetId="39">'152 Civil Defense'!$1:$3</definedName>
    <definedName name="_xlnm.Print_Titles" localSheetId="5">'51100'!$1:$4</definedName>
    <definedName name="_xlnm.Print_Titles" localSheetId="12">'51300'!$1:$4</definedName>
    <definedName name="_xlnm.Print_Titles" localSheetId="13">'51600'!$1:$4</definedName>
    <definedName name="_xlnm.Print_Titles" localSheetId="15">'51920'!$1:$4</definedName>
    <definedName name="_xlnm.Print_Titles" localSheetId="16">'52100'!$1:$4</definedName>
    <definedName name="_xlnm.Print_Titles" localSheetId="23">'56300'!$1:$4</definedName>
    <definedName name="_xlnm.Print_Titles" localSheetId="4">'GENERAL FUND REVENUE'!$1:$5</definedName>
    <definedName name="_xlnm.Print_Titles" localSheetId="3">'GENERAL FUND SUMMARY'!$1:$3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70" l="1"/>
  <c r="AB51" i="59"/>
  <c r="V30" i="4"/>
  <c r="V36" i="4"/>
  <c r="S20" i="9"/>
  <c r="S12" i="9"/>
  <c r="S14" i="9"/>
  <c r="T33" i="7"/>
  <c r="T79" i="7"/>
  <c r="S80" i="7"/>
  <c r="S79" i="7"/>
  <c r="S75" i="7"/>
  <c r="S72" i="7"/>
  <c r="S71" i="7"/>
  <c r="S69" i="7"/>
  <c r="S67" i="7"/>
  <c r="S66" i="7"/>
  <c r="S62" i="7"/>
  <c r="S61" i="7"/>
  <c r="S58" i="7"/>
  <c r="S55" i="7"/>
  <c r="S54" i="7"/>
  <c r="S53" i="7"/>
  <c r="S48" i="7"/>
  <c r="S47" i="7"/>
  <c r="S45" i="7"/>
  <c r="S43" i="7"/>
  <c r="S39" i="7"/>
  <c r="S38" i="7"/>
  <c r="S37" i="7"/>
  <c r="S36" i="7"/>
  <c r="S35" i="7"/>
  <c r="S34" i="7"/>
  <c r="S33" i="7"/>
  <c r="S32" i="7"/>
  <c r="S31" i="7"/>
  <c r="S28" i="7"/>
  <c r="S26" i="7"/>
  <c r="S25" i="7"/>
  <c r="S22" i="7"/>
  <c r="S21" i="7"/>
  <c r="S17" i="7"/>
  <c r="S16" i="7"/>
  <c r="S14" i="7"/>
  <c r="S13" i="7"/>
  <c r="S12" i="7"/>
  <c r="S11" i="7"/>
  <c r="S10" i="7"/>
  <c r="S9" i="7"/>
  <c r="S8" i="7"/>
  <c r="S7" i="7"/>
  <c r="S5" i="7"/>
  <c r="S82" i="7" s="1"/>
  <c r="S91" i="7" s="1"/>
  <c r="O56" i="55"/>
  <c r="P24" i="12"/>
  <c r="T75" i="7" l="1"/>
  <c r="T54" i="7"/>
  <c r="T25" i="7"/>
  <c r="T43" i="7"/>
  <c r="O10" i="55"/>
  <c r="O17" i="55"/>
  <c r="O15" i="55"/>
  <c r="N15" i="55"/>
  <c r="T32" i="9"/>
  <c r="Z7" i="27" s="1"/>
  <c r="N7" i="72" l="1"/>
  <c r="N12" i="72" s="1"/>
  <c r="M7" i="72"/>
  <c r="M8" i="72"/>
  <c r="D14" i="95"/>
  <c r="C14" i="95"/>
  <c r="D9" i="95"/>
  <c r="C9" i="95"/>
  <c r="C13" i="94"/>
  <c r="C12" i="94"/>
  <c r="M12" i="72" l="1"/>
  <c r="D14" i="94"/>
  <c r="C14" i="94"/>
  <c r="D9" i="94"/>
  <c r="E15" i="93"/>
  <c r="E10" i="93"/>
  <c r="F22" i="74"/>
  <c r="F10" i="74"/>
  <c r="F16" i="82"/>
  <c r="F10" i="82"/>
  <c r="F16" i="85"/>
  <c r="F10" i="85"/>
  <c r="F15" i="86"/>
  <c r="F10" i="86"/>
  <c r="F14" i="87"/>
  <c r="F10" i="87"/>
  <c r="F14" i="88"/>
  <c r="F9" i="88"/>
  <c r="F16" i="84"/>
  <c r="F10" i="84"/>
  <c r="F8" i="84"/>
  <c r="F8" i="89" l="1"/>
  <c r="G9" i="89" l="1"/>
  <c r="F9" i="89"/>
  <c r="G14" i="89"/>
  <c r="F14" i="89"/>
  <c r="E14" i="89"/>
  <c r="G14" i="83"/>
  <c r="F8" i="83"/>
  <c r="G9" i="83" l="1"/>
  <c r="F9" i="83"/>
  <c r="J15" i="73"/>
  <c r="I15" i="73"/>
  <c r="J9" i="73"/>
  <c r="I8" i="73"/>
  <c r="I9" i="73" s="1"/>
  <c r="I15" i="68" l="1"/>
  <c r="J15" i="68"/>
  <c r="F13" i="83" l="1"/>
  <c r="F14" i="83" s="1"/>
  <c r="J9" i="68" l="1"/>
  <c r="I8" i="68"/>
  <c r="I9" i="68" s="1"/>
  <c r="C7" i="94" l="1"/>
  <c r="C9" i="94" s="1"/>
  <c r="N28" i="72" l="1"/>
  <c r="M28" i="72"/>
  <c r="N55" i="55"/>
  <c r="N52" i="55"/>
  <c r="N53" i="55"/>
  <c r="N50" i="55"/>
  <c r="N49" i="55"/>
  <c r="N48" i="55"/>
  <c r="N47" i="55"/>
  <c r="N42" i="55"/>
  <c r="N41" i="55"/>
  <c r="N40" i="55"/>
  <c r="N39" i="55"/>
  <c r="N38" i="55"/>
  <c r="N37" i="55"/>
  <c r="N36" i="55"/>
  <c r="N34" i="55"/>
  <c r="N35" i="55"/>
  <c r="N31" i="55"/>
  <c r="N30" i="55"/>
  <c r="N26" i="55"/>
  <c r="N25" i="55"/>
  <c r="N24" i="55"/>
  <c r="N23" i="55"/>
  <c r="N22" i="55"/>
  <c r="N21" i="55"/>
  <c r="N9" i="55"/>
  <c r="N7" i="55"/>
  <c r="N8" i="55"/>
  <c r="N56" i="55" l="1"/>
  <c r="N10" i="55"/>
  <c r="N17" i="55" s="1"/>
  <c r="T14" i="9"/>
  <c r="T28" i="9" s="1"/>
  <c r="Z6" i="27" s="1"/>
  <c r="T32" i="7"/>
  <c r="T34" i="7"/>
  <c r="T26" i="7"/>
  <c r="T12" i="9"/>
  <c r="Z16" i="27"/>
  <c r="Z10" i="27"/>
  <c r="T35" i="9"/>
  <c r="Z8" i="27" s="1"/>
  <c r="S36" i="9"/>
  <c r="Z11" i="27" l="1"/>
  <c r="T36" i="9"/>
  <c r="T38" i="9"/>
  <c r="Q12" i="12" l="1"/>
  <c r="J14" i="65"/>
  <c r="I14" i="65"/>
  <c r="I12" i="65"/>
  <c r="J8" i="65"/>
  <c r="I6" i="65" l="1"/>
  <c r="I8" i="65" s="1"/>
  <c r="Q11" i="12"/>
  <c r="N16" i="19"/>
  <c r="M16" i="19"/>
  <c r="N10" i="19"/>
  <c r="M14" i="19" l="1"/>
  <c r="M7" i="19"/>
  <c r="M6" i="19"/>
  <c r="Q24" i="12"/>
  <c r="Q14" i="12"/>
  <c r="Q16" i="12" s="1"/>
  <c r="P14" i="12"/>
  <c r="M10" i="19" l="1"/>
  <c r="Q9" i="12"/>
  <c r="N17" i="11" l="1"/>
  <c r="M17" i="11"/>
  <c r="M15" i="11"/>
  <c r="N11" i="11"/>
  <c r="M10" i="11"/>
  <c r="M9" i="11"/>
  <c r="M8" i="11"/>
  <c r="M11" i="11" l="1"/>
  <c r="P7" i="12" l="1"/>
  <c r="P6" i="12"/>
  <c r="P9" i="12" l="1"/>
  <c r="P16" i="12" s="1"/>
  <c r="S25" i="9"/>
  <c r="S24" i="9"/>
  <c r="S23" i="9"/>
  <c r="S18" i="9"/>
  <c r="S17" i="9"/>
  <c r="S15" i="9"/>
  <c r="S9" i="9"/>
  <c r="S6" i="9"/>
  <c r="S5" i="9"/>
  <c r="S28" i="9" l="1"/>
  <c r="S38" i="9" s="1"/>
  <c r="T74" i="7"/>
  <c r="T65" i="7"/>
  <c r="T13" i="7" l="1"/>
  <c r="T12" i="7"/>
  <c r="T82" i="7" s="1"/>
  <c r="T91" i="7" s="1"/>
  <c r="Z15" i="27" s="1"/>
  <c r="Z18" i="27" s="1"/>
  <c r="Z20" i="27" s="1"/>
  <c r="V16" i="3" l="1"/>
  <c r="AO82" i="26"/>
  <c r="AB55" i="59"/>
  <c r="AB42" i="59"/>
  <c r="AB12" i="59"/>
  <c r="AB11" i="59"/>
  <c r="AB64" i="59" l="1"/>
  <c r="N16" i="29"/>
  <c r="N8" i="29"/>
  <c r="AB63" i="59"/>
  <c r="AO12" i="26" s="1"/>
  <c r="L18" i="10"/>
  <c r="L12" i="10"/>
  <c r="I20" i="60"/>
  <c r="AB65" i="59" s="1"/>
  <c r="AO14" i="26" s="1"/>
  <c r="I14" i="60"/>
  <c r="AO70" i="26"/>
  <c r="AO58" i="26"/>
  <c r="AO50" i="26"/>
  <c r="O17" i="50"/>
  <c r="AO74" i="26" s="1"/>
  <c r="V15" i="46"/>
  <c r="U15" i="46"/>
  <c r="U14" i="46"/>
  <c r="U13" i="46"/>
  <c r="T15" i="46"/>
  <c r="R27" i="48"/>
  <c r="AO64" i="26" s="1"/>
  <c r="K6" i="90"/>
  <c r="AO61" i="26" s="1"/>
  <c r="S11" i="52"/>
  <c r="AO51" i="26" s="1"/>
  <c r="S6" i="39"/>
  <c r="S6" i="66"/>
  <c r="V59" i="4"/>
  <c r="AO49" i="26" s="1"/>
  <c r="T8" i="4"/>
  <c r="U12" i="37"/>
  <c r="U8" i="37"/>
  <c r="R20" i="36"/>
  <c r="AO38" i="26" s="1"/>
  <c r="V38" i="3"/>
  <c r="AO36" i="26" s="1"/>
  <c r="X37" i="30"/>
  <c r="AO34" i="26" s="1"/>
  <c r="AO27" i="26"/>
  <c r="AO26" i="26"/>
  <c r="AO16" i="26"/>
  <c r="AO13" i="26"/>
  <c r="AC56" i="2"/>
  <c r="AO21" i="26" s="1"/>
  <c r="AC25" i="2"/>
  <c r="U23" i="37" l="1"/>
  <c r="AO39" i="26" s="1"/>
  <c r="S7" i="31"/>
  <c r="AO28" i="26" s="1"/>
  <c r="AB67" i="59"/>
  <c r="AB68" i="59"/>
  <c r="AB59" i="59"/>
  <c r="AO10" i="26" s="1"/>
  <c r="AO17" i="26" s="1"/>
  <c r="K12" i="29"/>
  <c r="M12" i="29" s="1"/>
  <c r="AB69" i="59" l="1"/>
  <c r="K16" i="29"/>
  <c r="M16" i="29" s="1"/>
  <c r="L12" i="29"/>
  <c r="L16" i="29" s="1"/>
  <c r="K5" i="29"/>
  <c r="M5" i="29" s="1"/>
  <c r="L5" i="29" l="1"/>
  <c r="I16" i="10"/>
  <c r="J16" i="10" s="1"/>
  <c r="J18" i="10" s="1"/>
  <c r="I5" i="10"/>
  <c r="J5" i="10" s="1"/>
  <c r="I10" i="10"/>
  <c r="J10" i="10" s="1"/>
  <c r="I7" i="10"/>
  <c r="K7" i="10" s="1"/>
  <c r="J7" i="10" l="1"/>
  <c r="K16" i="10"/>
  <c r="I18" i="10"/>
  <c r="K5" i="10"/>
  <c r="K10" i="10"/>
  <c r="F18" i="60"/>
  <c r="G18" i="60" s="1"/>
  <c r="F6" i="60"/>
  <c r="G6" i="60" s="1"/>
  <c r="H6" i="60" l="1"/>
  <c r="F20" i="60"/>
  <c r="H18" i="60"/>
  <c r="F12" i="60"/>
  <c r="F11" i="60"/>
  <c r="F7" i="60"/>
  <c r="F10" i="60"/>
  <c r="F9" i="60"/>
  <c r="G9" i="60" s="1"/>
  <c r="H7" i="60" l="1"/>
  <c r="G7" i="60"/>
  <c r="F14" i="60"/>
  <c r="H11" i="60"/>
  <c r="G11" i="60"/>
  <c r="H12" i="60"/>
  <c r="G12" i="60"/>
  <c r="I8" i="10"/>
  <c r="J8" i="10" l="1"/>
  <c r="K8" i="10"/>
  <c r="K6" i="29"/>
  <c r="K8" i="29" l="1"/>
  <c r="M8" i="29" s="1"/>
  <c r="M6" i="29"/>
  <c r="L6" i="29"/>
  <c r="L8" i="29" s="1"/>
  <c r="I6" i="10" l="1"/>
  <c r="K6" i="10" l="1"/>
  <c r="I12" i="10"/>
  <c r="J6" i="10"/>
  <c r="Y6" i="59"/>
  <c r="AA66" i="59"/>
  <c r="AA41" i="59"/>
  <c r="AA36" i="59"/>
  <c r="Z41" i="59"/>
  <c r="Z66" i="59"/>
  <c r="Z36" i="59"/>
  <c r="Y9" i="59"/>
  <c r="Y57" i="59"/>
  <c r="Y55" i="59"/>
  <c r="Y54" i="59"/>
  <c r="Y53" i="59"/>
  <c r="Y52" i="59"/>
  <c r="Y51" i="59"/>
  <c r="Y47" i="59"/>
  <c r="Y46" i="59"/>
  <c r="Y43" i="59"/>
  <c r="Y42" i="59"/>
  <c r="Y40" i="59"/>
  <c r="Y65" i="59"/>
  <c r="Y63" i="59"/>
  <c r="Y64" i="59"/>
  <c r="Y67" i="59"/>
  <c r="Z67" i="59" s="1"/>
  <c r="Y68" i="59" l="1"/>
  <c r="Y37" i="59" l="1"/>
  <c r="Y34" i="59"/>
  <c r="Y33" i="59"/>
  <c r="Y31" i="59"/>
  <c r="Y30" i="59"/>
  <c r="Y29" i="59"/>
  <c r="Y28" i="59"/>
  <c r="Y27" i="59"/>
  <c r="Y26" i="59"/>
  <c r="Y24" i="59"/>
  <c r="Y22" i="59"/>
  <c r="Y21" i="59"/>
  <c r="Y20" i="59"/>
  <c r="Y19" i="59"/>
  <c r="Y18" i="59"/>
  <c r="Y17" i="59"/>
  <c r="Y16" i="59"/>
  <c r="Y15" i="59"/>
  <c r="Y14" i="59"/>
  <c r="Y13" i="59"/>
  <c r="Y12" i="59"/>
  <c r="Y11" i="59"/>
  <c r="Y8" i="59"/>
  <c r="N10" i="50" l="1"/>
  <c r="N7" i="50"/>
  <c r="U57" i="4"/>
  <c r="U54" i="4"/>
  <c r="U51" i="4"/>
  <c r="U44" i="4"/>
  <c r="U38" i="4"/>
  <c r="U23" i="4"/>
  <c r="U18" i="4"/>
  <c r="T20" i="37"/>
  <c r="Q10" i="36"/>
  <c r="AB50" i="2"/>
  <c r="M6" i="50"/>
  <c r="N6" i="50" s="1"/>
  <c r="I5" i="90"/>
  <c r="J5" i="90" s="1"/>
  <c r="J6" i="90" s="1"/>
  <c r="Q10" i="52"/>
  <c r="R10" i="52" s="1"/>
  <c r="Q9" i="52"/>
  <c r="R9" i="52" s="1"/>
  <c r="Q8" i="52"/>
  <c r="R8" i="52" s="1"/>
  <c r="Q7" i="52"/>
  <c r="R7" i="52" s="1"/>
  <c r="Q6" i="52"/>
  <c r="R6" i="52" s="1"/>
  <c r="Q5" i="52"/>
  <c r="R5" i="52" s="1"/>
  <c r="Q5" i="39"/>
  <c r="R5" i="39" s="1"/>
  <c r="R6" i="39" s="1"/>
  <c r="Q5" i="66"/>
  <c r="R5" i="66" s="1"/>
  <c r="T56" i="4"/>
  <c r="U56" i="4" s="1"/>
  <c r="T47" i="4"/>
  <c r="U47" i="4" s="1"/>
  <c r="T46" i="4"/>
  <c r="U46" i="4" s="1"/>
  <c r="T45" i="4"/>
  <c r="U45" i="4" s="1"/>
  <c r="T43" i="4"/>
  <c r="U43" i="4" s="1"/>
  <c r="T41" i="4"/>
  <c r="U41" i="4" s="1"/>
  <c r="T42" i="4"/>
  <c r="U42" i="4" s="1"/>
  <c r="T40" i="4"/>
  <c r="U40" i="4" s="1"/>
  <c r="T37" i="4"/>
  <c r="U37" i="4" s="1"/>
  <c r="T36" i="4"/>
  <c r="U36" i="4" s="1"/>
  <c r="T35" i="4"/>
  <c r="U35" i="4" s="1"/>
  <c r="T34" i="4"/>
  <c r="U34" i="4" s="1"/>
  <c r="T33" i="4"/>
  <c r="U33" i="4" s="1"/>
  <c r="T32" i="4"/>
  <c r="U32" i="4" s="1"/>
  <c r="T30" i="4"/>
  <c r="U30" i="4" s="1"/>
  <c r="T29" i="4"/>
  <c r="U29" i="4" s="1"/>
  <c r="T27" i="4"/>
  <c r="U27" i="4" s="1"/>
  <c r="T26" i="4"/>
  <c r="U26" i="4" s="1"/>
  <c r="T25" i="4"/>
  <c r="U25" i="4" s="1"/>
  <c r="T22" i="4"/>
  <c r="U22" i="4" s="1"/>
  <c r="T20" i="4"/>
  <c r="U20" i="4" s="1"/>
  <c r="T19" i="4"/>
  <c r="U19" i="4" s="1"/>
  <c r="T17" i="4"/>
  <c r="U17" i="4" s="1"/>
  <c r="T16" i="4"/>
  <c r="U16" i="4" s="1"/>
  <c r="T15" i="4"/>
  <c r="U15" i="4" s="1"/>
  <c r="T13" i="4"/>
  <c r="U13" i="4" s="1"/>
  <c r="T12" i="4"/>
  <c r="U12" i="4" s="1"/>
  <c r="T11" i="4"/>
  <c r="U11" i="4" s="1"/>
  <c r="T10" i="4"/>
  <c r="U10" i="4" s="1"/>
  <c r="T9" i="4"/>
  <c r="U9" i="4" s="1"/>
  <c r="U8" i="4"/>
  <c r="T5" i="4"/>
  <c r="U5" i="4" s="1"/>
  <c r="S19" i="37"/>
  <c r="T19" i="37" s="1"/>
  <c r="S18" i="37"/>
  <c r="T18" i="37" s="1"/>
  <c r="S16" i="37"/>
  <c r="T16" i="37" s="1"/>
  <c r="S15" i="37"/>
  <c r="T15" i="37" s="1"/>
  <c r="S12" i="37"/>
  <c r="T12" i="37" s="1"/>
  <c r="S10" i="37"/>
  <c r="T10" i="37" s="1"/>
  <c r="S8" i="37"/>
  <c r="T8" i="37" s="1"/>
  <c r="S6" i="37"/>
  <c r="T6" i="37" s="1"/>
  <c r="S5" i="37"/>
  <c r="T5" i="37" s="1"/>
  <c r="P19" i="36"/>
  <c r="Q19" i="36" s="1"/>
  <c r="P15" i="36"/>
  <c r="Q15" i="36" s="1"/>
  <c r="P14" i="36"/>
  <c r="Q14" i="36" s="1"/>
  <c r="P12" i="36"/>
  <c r="Q12" i="36" s="1"/>
  <c r="P9" i="36"/>
  <c r="Q9" i="36" s="1"/>
  <c r="P8" i="36"/>
  <c r="Q8" i="36" s="1"/>
  <c r="P6" i="36"/>
  <c r="Q6" i="36" s="1"/>
  <c r="Q6" i="66" l="1"/>
  <c r="R6" i="66" s="1"/>
  <c r="T59" i="4"/>
  <c r="Q6" i="39"/>
  <c r="R11" i="52"/>
  <c r="Q11" i="52"/>
  <c r="U6" i="4"/>
  <c r="S23" i="37"/>
  <c r="M17" i="50"/>
  <c r="I6" i="90"/>
  <c r="N17" i="50"/>
  <c r="U59" i="4"/>
  <c r="T23" i="37"/>
  <c r="P5" i="36" l="1"/>
  <c r="Q5" i="36" s="1"/>
  <c r="T37" i="3"/>
  <c r="U37" i="3" s="1"/>
  <c r="T28" i="3"/>
  <c r="U28" i="3" s="1"/>
  <c r="T27" i="3"/>
  <c r="U27" i="3" s="1"/>
  <c r="T17" i="3"/>
  <c r="U17" i="3" s="1"/>
  <c r="T7" i="3"/>
  <c r="U7" i="3" s="1"/>
  <c r="V31" i="30"/>
  <c r="W31" i="30" s="1"/>
  <c r="V30" i="30"/>
  <c r="W30" i="30" s="1"/>
  <c r="V28" i="30"/>
  <c r="W28" i="30" s="1"/>
  <c r="V27" i="30"/>
  <c r="W27" i="30" s="1"/>
  <c r="V26" i="30"/>
  <c r="W26" i="30" s="1"/>
  <c r="V25" i="30"/>
  <c r="W25" i="30" s="1"/>
  <c r="V16" i="30" l="1"/>
  <c r="W16" i="30" s="1"/>
  <c r="T9" i="71"/>
  <c r="S20" i="70"/>
  <c r="AA52" i="2" l="1"/>
  <c r="AB52" i="2" s="1"/>
  <c r="AA48" i="2"/>
  <c r="AB48" i="2" s="1"/>
  <c r="AA47" i="2"/>
  <c r="AB47" i="2" s="1"/>
  <c r="AA41" i="2"/>
  <c r="AB41" i="2" s="1"/>
  <c r="AB55" i="2" l="1"/>
  <c r="AB54" i="2"/>
  <c r="AB53" i="2"/>
  <c r="AB49" i="2"/>
  <c r="AB45" i="2"/>
  <c r="AB43" i="2"/>
  <c r="AB38" i="2"/>
  <c r="AB37" i="2"/>
  <c r="AB36" i="2"/>
  <c r="AB35" i="2"/>
  <c r="AB33" i="2"/>
  <c r="AB32" i="2"/>
  <c r="AB29" i="2"/>
  <c r="AB28" i="2"/>
  <c r="AB24" i="2"/>
  <c r="AB22" i="2"/>
  <c r="AB21" i="2"/>
  <c r="AB20" i="2"/>
  <c r="AB18" i="2"/>
  <c r="AB16" i="2"/>
  <c r="AB15" i="2"/>
  <c r="AB14" i="2"/>
  <c r="R43" i="7" l="1"/>
  <c r="R33" i="7"/>
  <c r="R54" i="7"/>
  <c r="R75" i="7"/>
  <c r="R74" i="7"/>
  <c r="R20" i="9"/>
  <c r="X51" i="59"/>
  <c r="X64" i="59"/>
  <c r="J15" i="29"/>
  <c r="AA64" i="59" l="1"/>
  <c r="Z64" i="59"/>
  <c r="AA51" i="59"/>
  <c r="Z51" i="59"/>
  <c r="C14" i="93"/>
  <c r="C15" i="93" s="1"/>
  <c r="D10" i="93"/>
  <c r="C9" i="93"/>
  <c r="C10" i="93" s="1"/>
  <c r="R11" i="7"/>
  <c r="R5" i="7"/>
  <c r="L17" i="11"/>
  <c r="L11" i="11"/>
  <c r="O20" i="36"/>
  <c r="H5" i="90"/>
  <c r="P6" i="66"/>
  <c r="P6" i="39"/>
  <c r="D15" i="93" l="1"/>
  <c r="S13" i="4" l="1"/>
  <c r="S8" i="4"/>
  <c r="Z12" i="2"/>
  <c r="S12" i="3"/>
  <c r="U11" i="30"/>
  <c r="S6" i="3"/>
  <c r="U6" i="30"/>
  <c r="Z7" i="2"/>
  <c r="X47" i="59"/>
  <c r="X7" i="59"/>
  <c r="AA47" i="59" l="1"/>
  <c r="Z47" i="59"/>
  <c r="E16" i="74"/>
  <c r="E15" i="74"/>
  <c r="E14" i="74"/>
  <c r="Y10" i="27"/>
  <c r="U15" i="30"/>
  <c r="E10" i="74"/>
  <c r="E16" i="82"/>
  <c r="E19" i="74" s="1"/>
  <c r="E10" i="82"/>
  <c r="E16" i="85"/>
  <c r="E18" i="74" s="1"/>
  <c r="E10" i="85"/>
  <c r="E13" i="86"/>
  <c r="E15" i="86" s="1"/>
  <c r="E17" i="74" s="1"/>
  <c r="E10" i="86"/>
  <c r="E14" i="87"/>
  <c r="E10" i="87"/>
  <c r="E14" i="88"/>
  <c r="E9" i="88"/>
  <c r="E16" i="84"/>
  <c r="E10" i="84"/>
  <c r="E9" i="89"/>
  <c r="H15" i="73"/>
  <c r="H9" i="73"/>
  <c r="E14" i="83"/>
  <c r="E9" i="83"/>
  <c r="H13" i="68"/>
  <c r="H15" i="68" s="1"/>
  <c r="H9" i="68"/>
  <c r="L28" i="72"/>
  <c r="L12" i="72"/>
  <c r="M54" i="55"/>
  <c r="M45" i="55"/>
  <c r="M39" i="55"/>
  <c r="M37" i="55"/>
  <c r="M36" i="55"/>
  <c r="M30" i="55"/>
  <c r="M27" i="55"/>
  <c r="M15" i="55"/>
  <c r="M10" i="55"/>
  <c r="R65" i="7"/>
  <c r="M17" i="55" l="1"/>
  <c r="E22" i="74"/>
  <c r="Y8" i="27"/>
  <c r="Y7" i="27"/>
  <c r="R25" i="7"/>
  <c r="R82" i="7" s="1"/>
  <c r="R91" i="7" s="1"/>
  <c r="Y15" i="27" s="1"/>
  <c r="Z26" i="2"/>
  <c r="O24" i="12" l="1"/>
  <c r="Y16" i="27" s="1"/>
  <c r="Y18" i="27" s="1"/>
  <c r="O9" i="12"/>
  <c r="O12" i="12"/>
  <c r="O11" i="12"/>
  <c r="O14" i="12" s="1"/>
  <c r="H14" i="65"/>
  <c r="L10" i="19"/>
  <c r="L16" i="19"/>
  <c r="J16" i="29"/>
  <c r="J8" i="29"/>
  <c r="O16" i="12" l="1"/>
  <c r="H8" i="65"/>
  <c r="H18" i="10" l="1"/>
  <c r="H12" i="10"/>
  <c r="E10" i="60"/>
  <c r="E20" i="60"/>
  <c r="J12" i="10" l="1"/>
  <c r="K12" i="10"/>
  <c r="X63" i="59"/>
  <c r="K18" i="10"/>
  <c r="X65" i="59"/>
  <c r="Z65" i="59" s="1"/>
  <c r="H20" i="60"/>
  <c r="G20" i="60"/>
  <c r="E14" i="60"/>
  <c r="H14" i="60" s="1"/>
  <c r="G10" i="60"/>
  <c r="G14" i="60" s="1"/>
  <c r="H10" i="60"/>
  <c r="Z63" i="59"/>
  <c r="AA63" i="59"/>
  <c r="Z23" i="2"/>
  <c r="AA65" i="59" l="1"/>
  <c r="Z68" i="59"/>
  <c r="X40" i="59"/>
  <c r="AA40" i="59" l="1"/>
  <c r="Z40" i="59"/>
  <c r="P11" i="52"/>
  <c r="O11" i="52"/>
  <c r="AN51" i="26" s="1"/>
  <c r="AN49" i="26"/>
  <c r="R59" i="4"/>
  <c r="S54" i="4"/>
  <c r="S51" i="4"/>
  <c r="S45" i="4"/>
  <c r="S44" i="4"/>
  <c r="S43" i="4"/>
  <c r="S35" i="4"/>
  <c r="S34" i="4"/>
  <c r="S32" i="4"/>
  <c r="S29" i="4"/>
  <c r="S27" i="4"/>
  <c r="S26" i="4"/>
  <c r="S22" i="4"/>
  <c r="S19" i="4"/>
  <c r="S18" i="4"/>
  <c r="S6" i="4"/>
  <c r="S5" i="4"/>
  <c r="AO86" i="26"/>
  <c r="AN86" i="26"/>
  <c r="AN36" i="26"/>
  <c r="R10" i="3"/>
  <c r="R38" i="3" s="1"/>
  <c r="S37" i="3"/>
  <c r="S36" i="3"/>
  <c r="S35" i="3"/>
  <c r="S34" i="3"/>
  <c r="S33" i="3"/>
  <c r="S32" i="3"/>
  <c r="S31" i="3"/>
  <c r="S30" i="3"/>
  <c r="S29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1" i="3"/>
  <c r="S8" i="3"/>
  <c r="S7" i="3"/>
  <c r="S5" i="3"/>
  <c r="T37" i="30"/>
  <c r="AN34" i="26" s="1"/>
  <c r="S38" i="3" l="1"/>
  <c r="U36" i="30" l="1"/>
  <c r="U35" i="30"/>
  <c r="U33" i="30"/>
  <c r="U32" i="30"/>
  <c r="U29" i="30"/>
  <c r="U27" i="30"/>
  <c r="U24" i="30"/>
  <c r="U23" i="30"/>
  <c r="U22" i="30"/>
  <c r="U21" i="30"/>
  <c r="U20" i="30"/>
  <c r="U19" i="30"/>
  <c r="U16" i="30"/>
  <c r="U14" i="30"/>
  <c r="U13" i="30"/>
  <c r="U12" i="30"/>
  <c r="U10" i="30"/>
  <c r="U5" i="30"/>
  <c r="Q12" i="34"/>
  <c r="P12" i="34"/>
  <c r="AN32" i="26" s="1"/>
  <c r="P18" i="33"/>
  <c r="O18" i="33"/>
  <c r="AN30" i="26" s="1"/>
  <c r="Q15" i="32"/>
  <c r="P15" i="32"/>
  <c r="AN29" i="26" s="1"/>
  <c r="AN26" i="26"/>
  <c r="AN14" i="26"/>
  <c r="AN13" i="26"/>
  <c r="AN12" i="26"/>
  <c r="R31" i="70"/>
  <c r="S23" i="71"/>
  <c r="R23" i="71"/>
  <c r="AN27" i="26" s="1"/>
  <c r="X68" i="59"/>
  <c r="AA68" i="59" s="1"/>
  <c r="X58" i="59"/>
  <c r="X56" i="59"/>
  <c r="X55" i="59"/>
  <c r="X54" i="59"/>
  <c r="X53" i="59"/>
  <c r="X52" i="59"/>
  <c r="X50" i="59"/>
  <c r="X49" i="59"/>
  <c r="X48" i="59"/>
  <c r="X46" i="59"/>
  <c r="X45" i="59"/>
  <c r="X44" i="59"/>
  <c r="X43" i="59"/>
  <c r="X42" i="59"/>
  <c r="X39" i="59"/>
  <c r="X38" i="59"/>
  <c r="X37" i="59"/>
  <c r="X35" i="59"/>
  <c r="X34" i="59"/>
  <c r="X33" i="59"/>
  <c r="X32" i="59"/>
  <c r="X31" i="59"/>
  <c r="X30" i="59"/>
  <c r="X29" i="59"/>
  <c r="X28" i="59"/>
  <c r="X27" i="59"/>
  <c r="X26" i="59"/>
  <c r="X25" i="59"/>
  <c r="X24" i="59"/>
  <c r="X23" i="59"/>
  <c r="X22" i="59"/>
  <c r="X21" i="59"/>
  <c r="X20" i="59"/>
  <c r="X19" i="59"/>
  <c r="X18" i="59"/>
  <c r="X17" i="59"/>
  <c r="X16" i="59"/>
  <c r="Z16" i="59" s="1"/>
  <c r="X15" i="59"/>
  <c r="X14" i="59"/>
  <c r="X13" i="59"/>
  <c r="X12" i="59"/>
  <c r="X11" i="59"/>
  <c r="X10" i="59"/>
  <c r="X9" i="59"/>
  <c r="AA9" i="59" s="1"/>
  <c r="X8" i="59"/>
  <c r="X6" i="59"/>
  <c r="Z56" i="2"/>
  <c r="AA8" i="59" l="1"/>
  <c r="Z8" i="59"/>
  <c r="AA12" i="59"/>
  <c r="Z12" i="59"/>
  <c r="AA20" i="59"/>
  <c r="Z20" i="59"/>
  <c r="Z24" i="59"/>
  <c r="AA24" i="59"/>
  <c r="Z28" i="59"/>
  <c r="AA28" i="59"/>
  <c r="AA37" i="59"/>
  <c r="Z37" i="59"/>
  <c r="AA43" i="59"/>
  <c r="Z43" i="59"/>
  <c r="Z53" i="59"/>
  <c r="AA53" i="59"/>
  <c r="AA13" i="59"/>
  <c r="Z13" i="59"/>
  <c r="Z17" i="59"/>
  <c r="AA17" i="59"/>
  <c r="AA21" i="59"/>
  <c r="Z21" i="59"/>
  <c r="Z29" i="59"/>
  <c r="AA29" i="59"/>
  <c r="AA33" i="59"/>
  <c r="Z33" i="59"/>
  <c r="AA54" i="59"/>
  <c r="Z54" i="59"/>
  <c r="Z14" i="59"/>
  <c r="AA14" i="59"/>
  <c r="Z34" i="59"/>
  <c r="AA34" i="59"/>
  <c r="AA55" i="59"/>
  <c r="Z55" i="59"/>
  <c r="AA18" i="59"/>
  <c r="Z18" i="59"/>
  <c r="AA22" i="59"/>
  <c r="Z22" i="59"/>
  <c r="AA26" i="59"/>
  <c r="Z26" i="59"/>
  <c r="AA30" i="59"/>
  <c r="Z30" i="59"/>
  <c r="AA6" i="59"/>
  <c r="Z6" i="59"/>
  <c r="Z11" i="59"/>
  <c r="AA11" i="59"/>
  <c r="Z15" i="59"/>
  <c r="AA15" i="59"/>
  <c r="Z19" i="59"/>
  <c r="AA19" i="59"/>
  <c r="AA27" i="59"/>
  <c r="Z27" i="59"/>
  <c r="Z31" i="59"/>
  <c r="AA31" i="59"/>
  <c r="Z42" i="59"/>
  <c r="AA42" i="59"/>
  <c r="AA46" i="59"/>
  <c r="Z46" i="59"/>
  <c r="AA52" i="59"/>
  <c r="Z52" i="59"/>
  <c r="U37" i="30"/>
  <c r="V57" i="59"/>
  <c r="X57" i="59" s="1"/>
  <c r="X59" i="59" l="1"/>
  <c r="Z57" i="59"/>
  <c r="AA57" i="59"/>
  <c r="X69" i="59"/>
  <c r="Y52" i="2"/>
  <c r="Y51" i="2"/>
  <c r="Y50" i="2"/>
  <c r="Y47" i="2"/>
  <c r="Y46" i="2"/>
  <c r="Y44" i="2"/>
  <c r="Y42" i="2"/>
  <c r="Y41" i="2"/>
  <c r="Y40" i="2"/>
  <c r="Y39" i="2"/>
  <c r="Y31" i="2"/>
  <c r="Y30" i="2"/>
  <c r="Y26" i="2"/>
  <c r="Y25" i="2"/>
  <c r="Y23" i="2"/>
  <c r="Y19" i="2"/>
  <c r="Y13" i="2"/>
  <c r="Y12" i="2"/>
  <c r="Y10" i="2"/>
  <c r="Y9" i="2"/>
  <c r="X27" i="2" l="1"/>
  <c r="Y27" i="2" s="1"/>
  <c r="W58" i="59" l="1"/>
  <c r="W56" i="59"/>
  <c r="W55" i="59"/>
  <c r="W54" i="59"/>
  <c r="W53" i="59"/>
  <c r="W51" i="59"/>
  <c r="W50" i="59"/>
  <c r="W49" i="59"/>
  <c r="W48" i="59"/>
  <c r="W47" i="59"/>
  <c r="W46" i="59"/>
  <c r="W45" i="59"/>
  <c r="W44" i="59"/>
  <c r="W43" i="59"/>
  <c r="W42" i="59"/>
  <c r="W41" i="59"/>
  <c r="W40" i="59"/>
  <c r="W39" i="59"/>
  <c r="W38" i="59"/>
  <c r="W37" i="59"/>
  <c r="W36" i="59"/>
  <c r="W35" i="59"/>
  <c r="W34" i="59"/>
  <c r="W33" i="59"/>
  <c r="W32" i="59"/>
  <c r="W31" i="59"/>
  <c r="W30" i="59"/>
  <c r="W29" i="59"/>
  <c r="W28" i="59"/>
  <c r="W27" i="59"/>
  <c r="W26" i="59"/>
  <c r="W25" i="59"/>
  <c r="W24" i="59"/>
  <c r="W23" i="59"/>
  <c r="W22" i="59"/>
  <c r="W21" i="59"/>
  <c r="W20" i="59"/>
  <c r="W19" i="59"/>
  <c r="W18" i="59"/>
  <c r="W17" i="59"/>
  <c r="W16" i="59"/>
  <c r="W15" i="59"/>
  <c r="W14" i="59"/>
  <c r="W13" i="59"/>
  <c r="W12" i="59"/>
  <c r="W11" i="59"/>
  <c r="W10" i="59"/>
  <c r="W9" i="59"/>
  <c r="W8" i="59"/>
  <c r="W6" i="59"/>
  <c r="V68" i="59"/>
  <c r="V59" i="59"/>
  <c r="AN10" i="26" s="1"/>
  <c r="AN17" i="26" s="1"/>
  <c r="V69" i="59" l="1"/>
  <c r="R36" i="9" l="1"/>
  <c r="R28" i="9" l="1"/>
  <c r="Y6" i="27" s="1"/>
  <c r="Y11" i="27" s="1"/>
  <c r="AA11" i="27" s="1"/>
  <c r="X11" i="2"/>
  <c r="Y11" i="2" s="1"/>
  <c r="Y8" i="2"/>
  <c r="Y7" i="2"/>
  <c r="Y5" i="2"/>
  <c r="X5" i="2"/>
  <c r="X56" i="2" s="1"/>
  <c r="R38" i="9" l="1"/>
  <c r="AN21" i="26"/>
  <c r="D19" i="74"/>
  <c r="D18" i="74"/>
  <c r="D17" i="74"/>
  <c r="D16" i="74"/>
  <c r="D15" i="74"/>
  <c r="D14" i="74"/>
  <c r="D10" i="74"/>
  <c r="D20" i="74"/>
  <c r="D21" i="74"/>
  <c r="D16" i="82"/>
  <c r="D10" i="82"/>
  <c r="D16" i="85"/>
  <c r="D10" i="85"/>
  <c r="D8" i="84"/>
  <c r="D9" i="84"/>
  <c r="D15" i="86"/>
  <c r="D10" i="86"/>
  <c r="D14" i="87"/>
  <c r="D10" i="87"/>
  <c r="D22" i="74" l="1"/>
  <c r="D14" i="88" l="1"/>
  <c r="D9" i="88"/>
  <c r="D10" i="84"/>
  <c r="D16" i="84"/>
  <c r="D14" i="89"/>
  <c r="D9" i="89"/>
  <c r="D14" i="83"/>
  <c r="D9" i="83"/>
  <c r="G15" i="73"/>
  <c r="G9" i="73"/>
  <c r="G15" i="68"/>
  <c r="S22" i="12"/>
  <c r="S21" i="12"/>
  <c r="S20" i="12"/>
  <c r="R23" i="12"/>
  <c r="S23" i="12" l="1"/>
  <c r="N12" i="12"/>
  <c r="N11" i="12"/>
  <c r="U7" i="59" l="1"/>
  <c r="W7" i="59" s="1"/>
  <c r="I41" i="72" l="1"/>
  <c r="I39" i="72"/>
  <c r="I40" i="72"/>
  <c r="H26" i="72"/>
  <c r="J16" i="72"/>
  <c r="H19" i="72"/>
  <c r="H16" i="72"/>
  <c r="I10" i="72"/>
  <c r="I8" i="72"/>
  <c r="I7" i="72"/>
  <c r="I42" i="72" l="1"/>
  <c r="O10" i="40"/>
  <c r="AM72" i="26" s="1"/>
  <c r="U52" i="59"/>
  <c r="W52" i="59" s="1"/>
  <c r="Q5" i="46"/>
  <c r="Q9" i="46"/>
  <c r="H6" i="90"/>
  <c r="AM61" i="26" s="1"/>
  <c r="U65" i="59"/>
  <c r="W65" i="59" s="1"/>
  <c r="U64" i="59"/>
  <c r="W64" i="59" s="1"/>
  <c r="U63" i="59"/>
  <c r="W63" i="59" s="1"/>
  <c r="AM84" i="26"/>
  <c r="AM81" i="26"/>
  <c r="U57" i="59"/>
  <c r="W57" i="59" s="1"/>
  <c r="AM73" i="26"/>
  <c r="AM71" i="26"/>
  <c r="AM68" i="26"/>
  <c r="AM67" i="26"/>
  <c r="AM66" i="26"/>
  <c r="AM65" i="26"/>
  <c r="AM63" i="26"/>
  <c r="AM62" i="26"/>
  <c r="AM60" i="26"/>
  <c r="AM59" i="26"/>
  <c r="AM57" i="26"/>
  <c r="AM56" i="26"/>
  <c r="AM55" i="26"/>
  <c r="AM54" i="26"/>
  <c r="AM53" i="26"/>
  <c r="AM52" i="26"/>
  <c r="AM48" i="26"/>
  <c r="AM47" i="26"/>
  <c r="AM46" i="26"/>
  <c r="AM45" i="26"/>
  <c r="AM44" i="26"/>
  <c r="AM43" i="26"/>
  <c r="AM42" i="26"/>
  <c r="AM41" i="26"/>
  <c r="AM40" i="26"/>
  <c r="AM37" i="26"/>
  <c r="AM35" i="26"/>
  <c r="AM33" i="26"/>
  <c r="AM31" i="26"/>
  <c r="AL82" i="26"/>
  <c r="U59" i="59" l="1"/>
  <c r="U68" i="59"/>
  <c r="W68" i="59" s="1"/>
  <c r="U69" i="59" l="1"/>
  <c r="W69" i="59" s="1"/>
  <c r="W59" i="59"/>
  <c r="AM10" i="26"/>
  <c r="O27" i="48"/>
  <c r="AM64" i="26" l="1"/>
  <c r="AM82" i="26"/>
  <c r="AM86" i="26" s="1"/>
  <c r="K28" i="55" l="1"/>
  <c r="M28" i="55" s="1"/>
  <c r="Q35" i="9" l="1"/>
  <c r="Q32" i="9"/>
  <c r="Q23" i="9"/>
  <c r="Q20" i="9"/>
  <c r="Q18" i="9"/>
  <c r="Q14" i="9"/>
  <c r="Q12" i="9"/>
  <c r="Q9" i="9"/>
  <c r="Q6" i="9"/>
  <c r="Q5" i="9"/>
  <c r="X17" i="27"/>
  <c r="Q75" i="7"/>
  <c r="Q15" i="7"/>
  <c r="R57" i="59" l="1"/>
  <c r="AL12" i="26"/>
  <c r="AM12" i="26" s="1"/>
  <c r="K7" i="50" l="1"/>
  <c r="L7" i="50" s="1"/>
  <c r="K6" i="50"/>
  <c r="L6" i="50" s="1"/>
  <c r="L17" i="50" s="1"/>
  <c r="Q14" i="46"/>
  <c r="R14" i="46" s="1"/>
  <c r="S14" i="46" s="1"/>
  <c r="Q13" i="46"/>
  <c r="R13" i="46" s="1"/>
  <c r="S13" i="46" s="1"/>
  <c r="N20" i="48"/>
  <c r="G5" i="90"/>
  <c r="Q23" i="4"/>
  <c r="S23" i="4" s="1"/>
  <c r="S59" i="4" s="1"/>
  <c r="Q5" i="37"/>
  <c r="R5" i="37" s="1"/>
  <c r="R23" i="37" s="1"/>
  <c r="S36" i="30"/>
  <c r="S35" i="30"/>
  <c r="S34" i="30"/>
  <c r="S32" i="30"/>
  <c r="S31" i="30"/>
  <c r="S30" i="30"/>
  <c r="S29" i="30"/>
  <c r="S28" i="30"/>
  <c r="S27" i="30"/>
  <c r="S26" i="30"/>
  <c r="S25" i="30"/>
  <c r="S21" i="30"/>
  <c r="S18" i="30"/>
  <c r="S16" i="30"/>
  <c r="S15" i="30"/>
  <c r="S11" i="30"/>
  <c r="S10" i="30"/>
  <c r="S9" i="30"/>
  <c r="S8" i="30"/>
  <c r="S7" i="30"/>
  <c r="S6" i="30"/>
  <c r="S5" i="30"/>
  <c r="O10" i="34"/>
  <c r="N15" i="33"/>
  <c r="O12" i="32"/>
  <c r="N6" i="31"/>
  <c r="O6" i="31" s="1"/>
  <c r="P6" i="31" s="1"/>
  <c r="N5" i="31"/>
  <c r="O5" i="31" s="1"/>
  <c r="Q6" i="71"/>
  <c r="AL14" i="26"/>
  <c r="AM14" i="26" s="1"/>
  <c r="AL13" i="26"/>
  <c r="AM13" i="26" s="1"/>
  <c r="W17" i="2"/>
  <c r="Y17" i="2" s="1"/>
  <c r="R59" i="59"/>
  <c r="AL10" i="26" s="1"/>
  <c r="P5" i="31" l="1"/>
  <c r="P7" i="31" s="1"/>
  <c r="O7" i="31"/>
  <c r="AN28" i="26" s="1"/>
  <c r="S15" i="46"/>
  <c r="AM17" i="26"/>
  <c r="Q15" i="46"/>
  <c r="R15" i="46"/>
  <c r="AM70" i="26" s="1"/>
  <c r="M27" i="48"/>
  <c r="AK64" i="26" s="1"/>
  <c r="AK84" i="26"/>
  <c r="AK83" i="26"/>
  <c r="AK81" i="26"/>
  <c r="AK73" i="26"/>
  <c r="AK72" i="26"/>
  <c r="AK71" i="26"/>
  <c r="AK68" i="26"/>
  <c r="AK67" i="26"/>
  <c r="AK66" i="26"/>
  <c r="AK65" i="26"/>
  <c r="AK63" i="26"/>
  <c r="AK62" i="26"/>
  <c r="AK60" i="26"/>
  <c r="AK59" i="26"/>
  <c r="AK57" i="26"/>
  <c r="AK56" i="26"/>
  <c r="AK55" i="26"/>
  <c r="AK54" i="26"/>
  <c r="AK53" i="26"/>
  <c r="AK52" i="26"/>
  <c r="AK48" i="26"/>
  <c r="AK47" i="26"/>
  <c r="AK46" i="26"/>
  <c r="AK45" i="26"/>
  <c r="AK44" i="26"/>
  <c r="AK43" i="26"/>
  <c r="AK42" i="26"/>
  <c r="AK41" i="26"/>
  <c r="AK40" i="26"/>
  <c r="AK37" i="26"/>
  <c r="AK35" i="26"/>
  <c r="AK33" i="26"/>
  <c r="AK31" i="26"/>
  <c r="P23" i="71"/>
  <c r="J55" i="55"/>
  <c r="K55" i="55" s="1"/>
  <c r="J54" i="55"/>
  <c r="J52" i="55"/>
  <c r="K52" i="55" s="1"/>
  <c r="M52" i="55" s="1"/>
  <c r="J51" i="55"/>
  <c r="K51" i="55" s="1"/>
  <c r="M51" i="55" s="1"/>
  <c r="J50" i="55"/>
  <c r="K50" i="55" s="1"/>
  <c r="M50" i="55" s="1"/>
  <c r="J49" i="55"/>
  <c r="K49" i="55" s="1"/>
  <c r="M49" i="55" s="1"/>
  <c r="J48" i="55"/>
  <c r="K48" i="55" s="1"/>
  <c r="M48" i="55" s="1"/>
  <c r="J47" i="55"/>
  <c r="K47" i="55" s="1"/>
  <c r="M47" i="55" s="1"/>
  <c r="J46" i="55"/>
  <c r="K46" i="55" s="1"/>
  <c r="M46" i="55" s="1"/>
  <c r="J45" i="55"/>
  <c r="J44" i="55"/>
  <c r="K44" i="55" s="1"/>
  <c r="M44" i="55" s="1"/>
  <c r="J43" i="55"/>
  <c r="K43" i="55" s="1"/>
  <c r="M43" i="55" s="1"/>
  <c r="J42" i="55"/>
  <c r="K42" i="55" s="1"/>
  <c r="M42" i="55" s="1"/>
  <c r="J41" i="55"/>
  <c r="K41" i="55" s="1"/>
  <c r="M41" i="55" s="1"/>
  <c r="J40" i="55"/>
  <c r="K40" i="55" s="1"/>
  <c r="M40" i="55" s="1"/>
  <c r="J39" i="55"/>
  <c r="J38" i="55"/>
  <c r="K38" i="55" s="1"/>
  <c r="M38" i="55" s="1"/>
  <c r="J37" i="55"/>
  <c r="J36" i="55"/>
  <c r="J35" i="55"/>
  <c r="K35" i="55" s="1"/>
  <c r="M35" i="55" s="1"/>
  <c r="J33" i="55"/>
  <c r="K33" i="55" s="1"/>
  <c r="M33" i="55" s="1"/>
  <c r="J30" i="55"/>
  <c r="J29" i="55"/>
  <c r="K29" i="55" s="1"/>
  <c r="M29" i="55" s="1"/>
  <c r="J27" i="55"/>
  <c r="J26" i="55"/>
  <c r="K26" i="55" s="1"/>
  <c r="M26" i="55" s="1"/>
  <c r="J25" i="55"/>
  <c r="K25" i="55" s="1"/>
  <c r="M25" i="55" s="1"/>
  <c r="J24" i="55"/>
  <c r="K24" i="55" s="1"/>
  <c r="M24" i="55" s="1"/>
  <c r="J23" i="55"/>
  <c r="K23" i="55" s="1"/>
  <c r="M23" i="55" s="1"/>
  <c r="J22" i="55"/>
  <c r="K22" i="55" s="1"/>
  <c r="M22" i="55" s="1"/>
  <c r="J21" i="55"/>
  <c r="K21" i="55" s="1"/>
  <c r="M21" i="55" s="1"/>
  <c r="J13" i="55"/>
  <c r="K13" i="55" s="1"/>
  <c r="J8" i="55"/>
  <c r="K8" i="55" s="1"/>
  <c r="J7" i="55"/>
  <c r="K7" i="55" s="1"/>
  <c r="P34" i="7"/>
  <c r="Q34" i="7" s="1"/>
  <c r="W16" i="27"/>
  <c r="X16" i="27" s="1"/>
  <c r="P90" i="7"/>
  <c r="Q90" i="7" s="1"/>
  <c r="P89" i="7"/>
  <c r="Q89" i="7" s="1"/>
  <c r="P81" i="7"/>
  <c r="Q81" i="7" s="1"/>
  <c r="P80" i="7"/>
  <c r="P79" i="7"/>
  <c r="P78" i="7"/>
  <c r="P77" i="7"/>
  <c r="Q77" i="7" s="1"/>
  <c r="P76" i="7"/>
  <c r="P74" i="7"/>
  <c r="Q74" i="7" s="1"/>
  <c r="P73" i="7"/>
  <c r="P72" i="7"/>
  <c r="Q72" i="7" s="1"/>
  <c r="P71" i="7"/>
  <c r="Q71" i="7" s="1"/>
  <c r="P70" i="7"/>
  <c r="P69" i="7"/>
  <c r="Q69" i="7" s="1"/>
  <c r="P68" i="7"/>
  <c r="P67" i="7"/>
  <c r="Q67" i="7" s="1"/>
  <c r="P66" i="7"/>
  <c r="P65" i="7"/>
  <c r="Q65" i="7" s="1"/>
  <c r="P64" i="7"/>
  <c r="P63" i="7"/>
  <c r="Q63" i="7" s="1"/>
  <c r="P62" i="7"/>
  <c r="Q62" i="7" s="1"/>
  <c r="P61" i="7"/>
  <c r="Q61" i="7" s="1"/>
  <c r="P60" i="7"/>
  <c r="Q60" i="7" s="1"/>
  <c r="P59" i="7"/>
  <c r="P58" i="7"/>
  <c r="Q58" i="7" s="1"/>
  <c r="P57" i="7"/>
  <c r="P56" i="7"/>
  <c r="Q56" i="7" s="1"/>
  <c r="P55" i="7"/>
  <c r="Q55" i="7" s="1"/>
  <c r="P54" i="7"/>
  <c r="Q54" i="7" s="1"/>
  <c r="P53" i="7"/>
  <c r="Q53" i="7" s="1"/>
  <c r="P52" i="7"/>
  <c r="P51" i="7"/>
  <c r="P50" i="7"/>
  <c r="P49" i="7"/>
  <c r="P48" i="7"/>
  <c r="Q48" i="7" s="1"/>
  <c r="P47" i="7"/>
  <c r="P46" i="7"/>
  <c r="P45" i="7"/>
  <c r="Q45" i="7" s="1"/>
  <c r="P44" i="7"/>
  <c r="Q44" i="7" s="1"/>
  <c r="P43" i="7"/>
  <c r="Q43" i="7" s="1"/>
  <c r="P42" i="7"/>
  <c r="Q42" i="7" s="1"/>
  <c r="P41" i="7"/>
  <c r="P40" i="7"/>
  <c r="P39" i="7"/>
  <c r="Q39" i="7" s="1"/>
  <c r="P38" i="7"/>
  <c r="Q38" i="7" s="1"/>
  <c r="P37" i="7"/>
  <c r="Q37" i="7" s="1"/>
  <c r="P36" i="7"/>
  <c r="Q36" i="7" s="1"/>
  <c r="P35" i="7"/>
  <c r="Q35" i="7" s="1"/>
  <c r="P33" i="7"/>
  <c r="Q33" i="7" s="1"/>
  <c r="P32" i="7"/>
  <c r="Q32" i="7" s="1"/>
  <c r="P31" i="7"/>
  <c r="Q31" i="7" s="1"/>
  <c r="P30" i="7"/>
  <c r="Q30" i="7" s="1"/>
  <c r="P29" i="7"/>
  <c r="P28" i="7"/>
  <c r="Q28" i="7" s="1"/>
  <c r="P27" i="7"/>
  <c r="P26" i="7"/>
  <c r="Q26" i="7" s="1"/>
  <c r="P25" i="7"/>
  <c r="Q25" i="7" s="1"/>
  <c r="P24" i="7"/>
  <c r="P23" i="7"/>
  <c r="P22" i="7"/>
  <c r="Q22" i="7" s="1"/>
  <c r="P21" i="7"/>
  <c r="P20" i="7"/>
  <c r="P19" i="7"/>
  <c r="P18" i="7"/>
  <c r="Q18" i="7" s="1"/>
  <c r="P17" i="7"/>
  <c r="Q17" i="7" s="1"/>
  <c r="P16" i="7"/>
  <c r="Q16" i="7" s="1"/>
  <c r="P14" i="7"/>
  <c r="Q14" i="7" s="1"/>
  <c r="P13" i="7"/>
  <c r="Q13" i="7" s="1"/>
  <c r="P12" i="7"/>
  <c r="Q12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6" i="70"/>
  <c r="Q6" i="70" s="1"/>
  <c r="V56" i="2"/>
  <c r="AK21" i="26" s="1"/>
  <c r="AG13" i="26"/>
  <c r="P65" i="59"/>
  <c r="AG14" i="26" s="1"/>
  <c r="P63" i="59"/>
  <c r="AG12" i="26" s="1"/>
  <c r="G17" i="50"/>
  <c r="M19" i="3"/>
  <c r="M12" i="71"/>
  <c r="R19" i="2"/>
  <c r="M16" i="70"/>
  <c r="M19" i="70"/>
  <c r="P31" i="70" l="1"/>
  <c r="AK26" i="26" s="1"/>
  <c r="J15" i="55"/>
  <c r="P82" i="7"/>
  <c r="P91" i="7" s="1"/>
  <c r="W15" i="27" s="1"/>
  <c r="AL70" i="26"/>
  <c r="I53" i="55"/>
  <c r="J53" i="55" s="1"/>
  <c r="K53" i="55" s="1"/>
  <c r="H55" i="55"/>
  <c r="H54" i="55"/>
  <c r="H53" i="55"/>
  <c r="H52" i="55"/>
  <c r="H51" i="55"/>
  <c r="H50" i="55"/>
  <c r="H49" i="55"/>
  <c r="H48" i="55"/>
  <c r="H47" i="55"/>
  <c r="H46" i="55"/>
  <c r="H45" i="55"/>
  <c r="H43" i="55"/>
  <c r="H42" i="55"/>
  <c r="H41" i="55"/>
  <c r="H40" i="55"/>
  <c r="H39" i="55"/>
  <c r="H37" i="55"/>
  <c r="H36" i="55"/>
  <c r="H33" i="55"/>
  <c r="H30" i="55"/>
  <c r="H29" i="55"/>
  <c r="H27" i="55"/>
  <c r="H26" i="55"/>
  <c r="H25" i="55"/>
  <c r="H24" i="55"/>
  <c r="H23" i="55"/>
  <c r="G7" i="55"/>
  <c r="G8" i="55"/>
  <c r="H8" i="55" s="1"/>
  <c r="G38" i="55"/>
  <c r="H38" i="55" s="1"/>
  <c r="G44" i="55"/>
  <c r="H44" i="55" s="1"/>
  <c r="G35" i="55"/>
  <c r="H35" i="55" s="1"/>
  <c r="I9" i="55"/>
  <c r="J9" i="55" s="1"/>
  <c r="K9" i="55" s="1"/>
  <c r="H22" i="55"/>
  <c r="H21" i="55"/>
  <c r="K56" i="55" l="1"/>
  <c r="M53" i="55"/>
  <c r="M56" i="55" s="1"/>
  <c r="J10" i="55"/>
  <c r="J17" i="55" s="1"/>
  <c r="W18" i="27"/>
  <c r="X15" i="27"/>
  <c r="J56" i="55"/>
  <c r="I56" i="55"/>
  <c r="G6" i="90" l="1"/>
  <c r="AL61" i="26" s="1"/>
  <c r="F6" i="90"/>
  <c r="AJ61" i="26" s="1"/>
  <c r="AK61" i="26" s="1"/>
  <c r="E6" i="90"/>
  <c r="D6" i="90"/>
  <c r="C6" i="90" l="1"/>
  <c r="V8" i="27"/>
  <c r="W8" i="27" s="1"/>
  <c r="X8" i="27" s="1"/>
  <c r="V7" i="27"/>
  <c r="W7" i="27" s="1"/>
  <c r="X7" i="27" s="1"/>
  <c r="V6" i="27"/>
  <c r="P36" i="9"/>
  <c r="P28" i="9"/>
  <c r="P38" i="9" s="1"/>
  <c r="Q59" i="4"/>
  <c r="AL49" i="26" s="1"/>
  <c r="AM49" i="26" s="1"/>
  <c r="T59" i="59"/>
  <c r="AJ82" i="26"/>
  <c r="AK82" i="26" s="1"/>
  <c r="AK86" i="26" s="1"/>
  <c r="Q38" i="3"/>
  <c r="S37" i="30"/>
  <c r="AL34" i="26" s="1"/>
  <c r="AM34" i="26" s="1"/>
  <c r="R37" i="30"/>
  <c r="AJ34" i="26" s="1"/>
  <c r="AK34" i="26" s="1"/>
  <c r="W56" i="2"/>
  <c r="AJ14" i="26"/>
  <c r="AK14" i="26" s="1"/>
  <c r="AJ13" i="26"/>
  <c r="AK13" i="26" s="1"/>
  <c r="AJ12" i="26"/>
  <c r="AK12" i="26" s="1"/>
  <c r="S68" i="59"/>
  <c r="S59" i="59"/>
  <c r="AJ10" i="26" s="1"/>
  <c r="AK10" i="26" s="1"/>
  <c r="AM36" i="26" l="1"/>
  <c r="AL36" i="26"/>
  <c r="AL21" i="26"/>
  <c r="AM21" i="26" s="1"/>
  <c r="Y56" i="2"/>
  <c r="V11" i="27"/>
  <c r="W6" i="27"/>
  <c r="AJ86" i="26"/>
  <c r="AK17" i="26"/>
  <c r="S69" i="59"/>
  <c r="X6" i="27" l="1"/>
  <c r="W11" i="27"/>
  <c r="W19" i="27" s="1"/>
  <c r="AJ17" i="26"/>
  <c r="O82" i="7"/>
  <c r="O91" i="7" s="1"/>
  <c r="V15" i="27" s="1"/>
  <c r="V18" i="27" s="1"/>
  <c r="V19" i="27" s="1"/>
  <c r="K17" i="50"/>
  <c r="AL74" i="26" s="1"/>
  <c r="AM74" i="26" s="1"/>
  <c r="J17" i="50"/>
  <c r="AJ74" i="26" s="1"/>
  <c r="AK74" i="26" s="1"/>
  <c r="N27" i="48"/>
  <c r="AL64" i="26" s="1"/>
  <c r="L27" i="48"/>
  <c r="AJ64" i="26" s="1"/>
  <c r="O6" i="39" l="1"/>
  <c r="AL58" i="26" s="1"/>
  <c r="AM58" i="26" s="1"/>
  <c r="P23" i="4"/>
  <c r="U7" i="2"/>
  <c r="AI82" i="26" l="1"/>
  <c r="AH81" i="26"/>
  <c r="AI58" i="26" l="1"/>
  <c r="AG58" i="26"/>
  <c r="AH74" i="26"/>
  <c r="AH73" i="26"/>
  <c r="AH72" i="26"/>
  <c r="AH71" i="26"/>
  <c r="AH69" i="26"/>
  <c r="AH68" i="26"/>
  <c r="AH67" i="26"/>
  <c r="AH66" i="26"/>
  <c r="AH65" i="26"/>
  <c r="AH63" i="26"/>
  <c r="AH62" i="26"/>
  <c r="AH61" i="26"/>
  <c r="AH60" i="26"/>
  <c r="AH59" i="26"/>
  <c r="AH57" i="26"/>
  <c r="AH56" i="26"/>
  <c r="AH55" i="26"/>
  <c r="AH54" i="26"/>
  <c r="AH53" i="26"/>
  <c r="AH52" i="26"/>
  <c r="AH48" i="26"/>
  <c r="AH47" i="26"/>
  <c r="AH46" i="26"/>
  <c r="AH45" i="26"/>
  <c r="AH44" i="26"/>
  <c r="AH43" i="26"/>
  <c r="AH42" i="26"/>
  <c r="AH41" i="26"/>
  <c r="AH40" i="26"/>
  <c r="AH37" i="26"/>
  <c r="AH35" i="26"/>
  <c r="AH33" i="26"/>
  <c r="AH31" i="26"/>
  <c r="AI50" i="26"/>
  <c r="AI14" i="26"/>
  <c r="AI13" i="26"/>
  <c r="AI12" i="26"/>
  <c r="R68" i="59"/>
  <c r="R69" i="59" s="1"/>
  <c r="AI10" i="26"/>
  <c r="P68" i="59"/>
  <c r="Q64" i="59"/>
  <c r="T17" i="27"/>
  <c r="U8" i="27"/>
  <c r="U7" i="27"/>
  <c r="O36" i="9"/>
  <c r="O28" i="9"/>
  <c r="U6" i="27" s="1"/>
  <c r="S8" i="27"/>
  <c r="S7" i="27"/>
  <c r="N26" i="9"/>
  <c r="N25" i="9"/>
  <c r="N23" i="9"/>
  <c r="N22" i="9"/>
  <c r="N21" i="9"/>
  <c r="N19" i="9"/>
  <c r="N18" i="9"/>
  <c r="N17" i="9"/>
  <c r="N16" i="9"/>
  <c r="N14" i="9"/>
  <c r="N13" i="9"/>
  <c r="N12" i="9"/>
  <c r="N11" i="9"/>
  <c r="N10" i="9"/>
  <c r="N9" i="9"/>
  <c r="N6" i="9"/>
  <c r="N5" i="9"/>
  <c r="O38" i="9" l="1"/>
  <c r="Q58" i="59" l="1"/>
  <c r="Q56" i="59"/>
  <c r="Q50" i="59"/>
  <c r="Q49" i="59"/>
  <c r="Q48" i="59"/>
  <c r="Q45" i="59"/>
  <c r="Q44" i="59"/>
  <c r="Q41" i="59"/>
  <c r="Q39" i="59"/>
  <c r="Q38" i="59"/>
  <c r="Q36" i="59"/>
  <c r="Q35" i="59"/>
  <c r="Q30" i="59"/>
  <c r="Q28" i="59"/>
  <c r="Q23" i="59"/>
  <c r="Q16" i="59"/>
  <c r="Q10" i="59"/>
  <c r="Q6" i="59"/>
  <c r="Q57" i="59"/>
  <c r="Q55" i="59"/>
  <c r="Q54" i="59"/>
  <c r="Q53" i="59"/>
  <c r="Q52" i="59"/>
  <c r="Q51" i="59"/>
  <c r="Q47" i="59"/>
  <c r="Q46" i="59"/>
  <c r="Q43" i="59"/>
  <c r="Q42" i="59"/>
  <c r="Q40" i="59"/>
  <c r="Q37" i="59"/>
  <c r="Q34" i="59"/>
  <c r="Q33" i="59"/>
  <c r="Q32" i="59"/>
  <c r="Q31" i="59"/>
  <c r="Q29" i="59"/>
  <c r="Q27" i="59"/>
  <c r="Q26" i="59"/>
  <c r="Q25" i="59"/>
  <c r="Q24" i="59"/>
  <c r="Q22" i="59"/>
  <c r="Q21" i="59"/>
  <c r="Q20" i="59"/>
  <c r="Q19" i="59"/>
  <c r="Q18" i="59"/>
  <c r="Q17" i="59"/>
  <c r="Q15" i="59"/>
  <c r="Q14" i="59"/>
  <c r="Q13" i="59"/>
  <c r="Q12" i="59"/>
  <c r="Q11" i="59"/>
  <c r="Q9" i="59"/>
  <c r="Q8" i="59"/>
  <c r="P59" i="59" l="1"/>
  <c r="T7" i="2"/>
  <c r="M81" i="7"/>
  <c r="M80" i="7"/>
  <c r="M79" i="7"/>
  <c r="M78" i="7"/>
  <c r="M77" i="7"/>
  <c r="M76" i="7"/>
  <c r="M75" i="7"/>
  <c r="M73" i="7"/>
  <c r="M72" i="7"/>
  <c r="M71" i="7"/>
  <c r="M70" i="7"/>
  <c r="M69" i="7"/>
  <c r="M68" i="7"/>
  <c r="M67" i="7"/>
  <c r="M66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5" i="7"/>
  <c r="N14" i="46"/>
  <c r="N13" i="46"/>
  <c r="N12" i="46"/>
  <c r="N11" i="46"/>
  <c r="N10" i="46"/>
  <c r="N9" i="46"/>
  <c r="N8" i="46"/>
  <c r="N7" i="46"/>
  <c r="N6" i="46"/>
  <c r="N5" i="46"/>
  <c r="L10" i="52"/>
  <c r="L9" i="52"/>
  <c r="L8" i="52"/>
  <c r="L7" i="52"/>
  <c r="L6" i="52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5" i="4"/>
  <c r="N34" i="4"/>
  <c r="N33" i="4"/>
  <c r="N32" i="4"/>
  <c r="N31" i="4"/>
  <c r="N28" i="4"/>
  <c r="N27" i="4"/>
  <c r="N26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9" i="4"/>
  <c r="N7" i="4"/>
  <c r="N6" i="4"/>
  <c r="N5" i="4"/>
  <c r="M58" i="4"/>
  <c r="N58" i="4" s="1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AG10" i="26" l="1"/>
  <c r="P69" i="59"/>
  <c r="N20" i="36"/>
  <c r="AL38" i="26" s="1"/>
  <c r="AM38" i="26" s="1"/>
  <c r="M20" i="36"/>
  <c r="K20" i="36"/>
  <c r="M38" i="3"/>
  <c r="AG36" i="26" s="1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7" i="3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9" i="30"/>
  <c r="P8" i="30"/>
  <c r="P7" i="30"/>
  <c r="AJ38" i="26" l="1"/>
  <c r="AK38" i="26" s="1"/>
  <c r="AI38" i="26"/>
  <c r="AG38" i="26"/>
  <c r="L15" i="33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R42" i="2"/>
  <c r="S42" i="2" s="1"/>
  <c r="R27" i="2"/>
  <c r="M5" i="66"/>
  <c r="H6" i="50"/>
  <c r="S5" i="2"/>
  <c r="I17" i="50"/>
  <c r="F9" i="68" l="1"/>
  <c r="G9" i="68"/>
  <c r="K28" i="72" l="1"/>
  <c r="J28" i="72"/>
  <c r="I28" i="72"/>
  <c r="H28" i="72"/>
  <c r="K12" i="72"/>
  <c r="J12" i="72"/>
  <c r="I12" i="72"/>
  <c r="H12" i="72"/>
  <c r="K15" i="55"/>
  <c r="I15" i="55"/>
  <c r="H15" i="55"/>
  <c r="G15" i="55"/>
  <c r="K10" i="55"/>
  <c r="I10" i="55"/>
  <c r="I17" i="55" s="1"/>
  <c r="I58" i="55" s="1"/>
  <c r="G10" i="55"/>
  <c r="G14" i="65"/>
  <c r="G8" i="65"/>
  <c r="K16" i="19"/>
  <c r="K10" i="19"/>
  <c r="N24" i="12"/>
  <c r="N14" i="12"/>
  <c r="N9" i="12"/>
  <c r="M9" i="12"/>
  <c r="I16" i="29"/>
  <c r="I8" i="29"/>
  <c r="K17" i="11"/>
  <c r="K11" i="11"/>
  <c r="G18" i="10"/>
  <c r="G12" i="10"/>
  <c r="D20" i="60"/>
  <c r="D14" i="60"/>
  <c r="X18" i="27"/>
  <c r="X11" i="27"/>
  <c r="U11" i="27"/>
  <c r="Q82" i="7"/>
  <c r="Q91" i="7" s="1"/>
  <c r="N82" i="7"/>
  <c r="N91" i="7" s="1"/>
  <c r="L82" i="7"/>
  <c r="Q36" i="9"/>
  <c r="M36" i="9"/>
  <c r="Q28" i="9"/>
  <c r="M28" i="9"/>
  <c r="P15" i="46"/>
  <c r="AJ70" i="26" s="1"/>
  <c r="AK70" i="26" s="1"/>
  <c r="O15" i="46"/>
  <c r="N15" i="46"/>
  <c r="M15" i="46"/>
  <c r="AG70" i="26" s="1"/>
  <c r="L15" i="46"/>
  <c r="N11" i="52"/>
  <c r="AL51" i="26" s="1"/>
  <c r="AM51" i="26" s="1"/>
  <c r="M11" i="52"/>
  <c r="K11" i="52"/>
  <c r="N6" i="39"/>
  <c r="AJ58" i="26" s="1"/>
  <c r="AK58" i="26" s="1"/>
  <c r="M6" i="39"/>
  <c r="K6" i="39"/>
  <c r="O6" i="66"/>
  <c r="N6" i="66"/>
  <c r="M6" i="66"/>
  <c r="L6" i="66"/>
  <c r="AG50" i="26" s="1"/>
  <c r="P59" i="4"/>
  <c r="AJ49" i="26" s="1"/>
  <c r="AK49" i="26" s="1"/>
  <c r="O59" i="4"/>
  <c r="AI49" i="26" s="1"/>
  <c r="M59" i="4"/>
  <c r="Q23" i="37"/>
  <c r="AL39" i="26" s="1"/>
  <c r="AM39" i="26" s="1"/>
  <c r="P23" i="37"/>
  <c r="N23" i="37"/>
  <c r="U56" i="2"/>
  <c r="AJ21" i="26" s="1"/>
  <c r="Q31" i="70"/>
  <c r="AL26" i="26" s="1"/>
  <c r="AM26" i="26" s="1"/>
  <c r="Q23" i="71"/>
  <c r="AL27" i="26" s="1"/>
  <c r="AM27" i="26" s="1"/>
  <c r="N7" i="31"/>
  <c r="AL28" i="26" s="1"/>
  <c r="AM28" i="26" s="1"/>
  <c r="O15" i="32"/>
  <c r="AL29" i="26" s="1"/>
  <c r="AM29" i="26" s="1"/>
  <c r="N18" i="33"/>
  <c r="AL30" i="26" s="1"/>
  <c r="AM30" i="26" s="1"/>
  <c r="O12" i="34"/>
  <c r="AL32" i="26" s="1"/>
  <c r="AM32" i="26" s="1"/>
  <c r="P38" i="3"/>
  <c r="AJ36" i="26" s="1"/>
  <c r="AK36" i="26" s="1"/>
  <c r="O38" i="3"/>
  <c r="AI36" i="26" s="1"/>
  <c r="N12" i="34"/>
  <c r="L12" i="34"/>
  <c r="AG32" i="26" s="1"/>
  <c r="Q37" i="30"/>
  <c r="AI34" i="26" s="1"/>
  <c r="O37" i="30"/>
  <c r="AG34" i="26" s="1"/>
  <c r="M18" i="33"/>
  <c r="L18" i="33"/>
  <c r="K18" i="33"/>
  <c r="AG30" i="26" s="1"/>
  <c r="J18" i="33"/>
  <c r="N15" i="32"/>
  <c r="L15" i="32"/>
  <c r="AG29" i="26" s="1"/>
  <c r="M7" i="31"/>
  <c r="K7" i="31"/>
  <c r="AG28" i="26" s="1"/>
  <c r="O23" i="71"/>
  <c r="M23" i="71"/>
  <c r="O31" i="70"/>
  <c r="M31" i="70"/>
  <c r="T56" i="2"/>
  <c r="AI21" i="26" s="1"/>
  <c r="R56" i="2"/>
  <c r="AL86" i="26"/>
  <c r="AI86" i="26"/>
  <c r="AG86" i="26"/>
  <c r="AL17" i="26"/>
  <c r="AI17" i="26"/>
  <c r="AG17" i="26"/>
  <c r="N16" i="12" l="1"/>
  <c r="AJ51" i="26"/>
  <c r="AK51" i="26" s="1"/>
  <c r="AI70" i="26"/>
  <c r="AI51" i="26"/>
  <c r="AJ27" i="26"/>
  <c r="AK27" i="26" s="1"/>
  <c r="AI27" i="26"/>
  <c r="G17" i="55"/>
  <c r="AJ26" i="26"/>
  <c r="AI26" i="26"/>
  <c r="AJ30" i="26"/>
  <c r="AK30" i="26" s="1"/>
  <c r="AI30" i="26"/>
  <c r="AJ32" i="26"/>
  <c r="AK32" i="26" s="1"/>
  <c r="AI32" i="26"/>
  <c r="AJ29" i="26"/>
  <c r="AK29" i="26" s="1"/>
  <c r="AI29" i="26"/>
  <c r="AJ28" i="26"/>
  <c r="AK28" i="26" s="1"/>
  <c r="AI28" i="26"/>
  <c r="AJ39" i="26"/>
  <c r="AK39" i="26" s="1"/>
  <c r="AI39" i="26"/>
  <c r="AJ50" i="26"/>
  <c r="AK50" i="26" s="1"/>
  <c r="AL50" i="26"/>
  <c r="AM50" i="26" s="1"/>
  <c r="AN50" i="26" s="1"/>
  <c r="K17" i="55"/>
  <c r="Q38" i="9"/>
  <c r="U15" i="27"/>
  <c r="U18" i="27" s="1"/>
  <c r="U19" i="27" s="1"/>
  <c r="AG51" i="26"/>
  <c r="AG49" i="26"/>
  <c r="AG39" i="26"/>
  <c r="AG27" i="26"/>
  <c r="AG26" i="26"/>
  <c r="AG21" i="26"/>
  <c r="M38" i="9"/>
  <c r="S6" i="27"/>
  <c r="L91" i="7"/>
  <c r="S15" i="27"/>
  <c r="S18" i="27" s="1"/>
  <c r="C18" i="74"/>
  <c r="C21" i="74"/>
  <c r="C20" i="74"/>
  <c r="C19" i="74"/>
  <c r="C17" i="74"/>
  <c r="C16" i="74"/>
  <c r="C15" i="74"/>
  <c r="C14" i="74"/>
  <c r="AN75" i="26" l="1"/>
  <c r="AN88" i="26" s="1"/>
  <c r="AO75" i="26"/>
  <c r="AO88" i="26" s="1"/>
  <c r="AO89" i="26" s="1"/>
  <c r="AI75" i="26"/>
  <c r="AI88" i="26" s="1"/>
  <c r="AI91" i="26" s="1"/>
  <c r="AG75" i="26"/>
  <c r="AG88" i="26" s="1"/>
  <c r="AG91" i="26" s="1"/>
  <c r="S11" i="27"/>
  <c r="L37" i="4"/>
  <c r="N37" i="4" s="1"/>
  <c r="L29" i="4"/>
  <c r="N29" i="4" s="1"/>
  <c r="L13" i="4"/>
  <c r="N13" i="4" s="1"/>
  <c r="L25" i="4"/>
  <c r="N25" i="4" s="1"/>
  <c r="L10" i="4"/>
  <c r="N10" i="4" s="1"/>
  <c r="L30" i="4"/>
  <c r="N30" i="4" s="1"/>
  <c r="L8" i="4"/>
  <c r="N8" i="4" s="1"/>
  <c r="L36" i="4"/>
  <c r="N36" i="4" s="1"/>
  <c r="C14" i="89" l="1"/>
  <c r="C9" i="89"/>
  <c r="C14" i="83"/>
  <c r="C9" i="83"/>
  <c r="K6" i="66" l="1"/>
  <c r="AD50" i="26" s="1"/>
  <c r="AH50" i="26" s="1"/>
  <c r="C16" i="82"/>
  <c r="C10" i="82"/>
  <c r="C16" i="85"/>
  <c r="C10" i="85"/>
  <c r="C16" i="86"/>
  <c r="C10" i="86"/>
  <c r="C16" i="87"/>
  <c r="C10" i="87"/>
  <c r="C15" i="88"/>
  <c r="C9" i="88"/>
  <c r="C16" i="84"/>
  <c r="C10" i="84"/>
  <c r="J5" i="39" l="1"/>
  <c r="L5" i="39" s="1"/>
  <c r="L6" i="39" s="1"/>
  <c r="AD84" i="26"/>
  <c r="AH84" i="26" s="1"/>
  <c r="AE75" i="26" l="1"/>
  <c r="AE86" i="26"/>
  <c r="F7" i="55"/>
  <c r="H7" i="55" s="1"/>
  <c r="H10" i="55" s="1"/>
  <c r="H17" i="55" s="1"/>
  <c r="K74" i="7"/>
  <c r="M74" i="7" s="1"/>
  <c r="O7" i="59"/>
  <c r="Q7" i="59" s="1"/>
  <c r="F17" i="50"/>
  <c r="AA74" i="26" s="1"/>
  <c r="K27" i="48"/>
  <c r="AD64" i="26" s="1"/>
  <c r="AH64" i="26" s="1"/>
  <c r="J5" i="52"/>
  <c r="J6" i="39"/>
  <c r="L59" i="4"/>
  <c r="M23" i="37"/>
  <c r="J20" i="36"/>
  <c r="L8" i="3"/>
  <c r="N8" i="3" s="1"/>
  <c r="L6" i="3"/>
  <c r="N6" i="3" s="1"/>
  <c r="L5" i="3"/>
  <c r="N5" i="3" s="1"/>
  <c r="AD58" i="26"/>
  <c r="AH58" i="26" s="1"/>
  <c r="N10" i="30"/>
  <c r="P10" i="30" s="1"/>
  <c r="N6" i="30"/>
  <c r="P6" i="30" s="1"/>
  <c r="N5" i="30"/>
  <c r="P5" i="30" s="1"/>
  <c r="K10" i="34"/>
  <c r="K12" i="32"/>
  <c r="J6" i="31"/>
  <c r="L6" i="31" s="1"/>
  <c r="J5" i="31"/>
  <c r="L5" i="31" s="1"/>
  <c r="L7" i="31" s="1"/>
  <c r="L23" i="71"/>
  <c r="L31" i="70"/>
  <c r="AD27" i="26" l="1"/>
  <c r="AH27" i="26" s="1"/>
  <c r="N23" i="71"/>
  <c r="J11" i="52"/>
  <c r="L5" i="52"/>
  <c r="AD39" i="26"/>
  <c r="AH39" i="26" s="1"/>
  <c r="O23" i="37"/>
  <c r="AD26" i="26"/>
  <c r="AH26" i="26" s="1"/>
  <c r="N31" i="70"/>
  <c r="K12" i="34"/>
  <c r="AD32" i="26" s="1"/>
  <c r="AH32" i="26" s="1"/>
  <c r="M10" i="34"/>
  <c r="M12" i="34" s="1"/>
  <c r="AD38" i="26"/>
  <c r="AH38" i="26" s="1"/>
  <c r="L20" i="36"/>
  <c r="P37" i="30"/>
  <c r="AD49" i="26"/>
  <c r="AH49" i="26" s="1"/>
  <c r="N59" i="4"/>
  <c r="K15" i="32"/>
  <c r="AD29" i="26" s="1"/>
  <c r="AH29" i="26" s="1"/>
  <c r="M12" i="32"/>
  <c r="M15" i="32" s="1"/>
  <c r="N37" i="30"/>
  <c r="AD34" i="26" s="1"/>
  <c r="AH34" i="26" s="1"/>
  <c r="L38" i="3"/>
  <c r="J7" i="31"/>
  <c r="AD28" i="26" s="1"/>
  <c r="AH28" i="26" s="1"/>
  <c r="AE88" i="26"/>
  <c r="AD36" i="26" l="1"/>
  <c r="AH36" i="26" s="1"/>
  <c r="N38" i="3"/>
  <c r="AD51" i="26"/>
  <c r="AH51" i="26" s="1"/>
  <c r="L11" i="52"/>
  <c r="Q56" i="2"/>
  <c r="S56" i="2" s="1"/>
  <c r="AD21" i="26" l="1"/>
  <c r="AH21" i="26" s="1"/>
  <c r="AA82" i="26"/>
  <c r="C9" i="74"/>
  <c r="C10" i="74" s="1"/>
  <c r="AD13" i="26" l="1"/>
  <c r="AH13" i="26" s="1"/>
  <c r="I63" i="59"/>
  <c r="I64" i="59"/>
  <c r="I65" i="59"/>
  <c r="L32" i="9"/>
  <c r="Y82" i="26"/>
  <c r="Z82" i="26" s="1"/>
  <c r="Y39" i="26"/>
  <c r="Y38" i="26"/>
  <c r="Y36" i="26"/>
  <c r="Y34" i="26"/>
  <c r="Y32" i="26"/>
  <c r="Y30" i="26"/>
  <c r="Y29" i="26"/>
  <c r="Y28" i="26"/>
  <c r="Y27" i="26"/>
  <c r="Y26" i="26"/>
  <c r="Y21" i="26"/>
  <c r="Y14" i="26"/>
  <c r="Y13" i="26"/>
  <c r="Y12" i="26"/>
  <c r="Y10" i="26"/>
  <c r="R7" i="27" l="1"/>
  <c r="T7" i="27" s="1"/>
  <c r="N32" i="9"/>
  <c r="G15" i="29"/>
  <c r="K63" i="59" l="1"/>
  <c r="AA12" i="26" s="1"/>
  <c r="O59" i="59"/>
  <c r="G12" i="72"/>
  <c r="F12" i="72"/>
  <c r="AD10" i="26" l="1"/>
  <c r="AH10" i="26" s="1"/>
  <c r="Q59" i="59"/>
  <c r="F19" i="72"/>
  <c r="D13" i="55"/>
  <c r="D33" i="55"/>
  <c r="D15" i="55" l="1"/>
  <c r="D9" i="55"/>
  <c r="D8" i="55"/>
  <c r="D7" i="55"/>
  <c r="D10" i="55" l="1"/>
  <c r="D10" i="10" l="1"/>
  <c r="D8" i="10"/>
  <c r="D6" i="10"/>
  <c r="O65" i="59" l="1"/>
  <c r="AD14" i="26" l="1"/>
  <c r="AH14" i="26" s="1"/>
  <c r="Q65" i="59"/>
  <c r="M12" i="12"/>
  <c r="G28" i="72"/>
  <c r="F28" i="72"/>
  <c r="P25" i="2" l="1"/>
  <c r="P56" i="2" s="1"/>
  <c r="K38" i="3"/>
  <c r="K15" i="46"/>
  <c r="AD70" i="26" s="1"/>
  <c r="AH70" i="26" s="1"/>
  <c r="J15" i="46"/>
  <c r="AA84" i="26" l="1"/>
  <c r="M67" i="59"/>
  <c r="AA80" i="26" l="1"/>
  <c r="K65" i="59"/>
  <c r="K64" i="59"/>
  <c r="K68" i="59"/>
  <c r="K65" i="7" l="1"/>
  <c r="I78" i="7"/>
  <c r="J78" i="7" s="1"/>
  <c r="I76" i="7"/>
  <c r="J76" i="7" s="1"/>
  <c r="I75" i="7"/>
  <c r="I73" i="7"/>
  <c r="I70" i="7"/>
  <c r="J70" i="7" s="1"/>
  <c r="I68" i="7"/>
  <c r="J68" i="7" s="1"/>
  <c r="I66" i="7"/>
  <c r="I64" i="7"/>
  <c r="I60" i="7"/>
  <c r="J60" i="7" s="1"/>
  <c r="I59" i="7"/>
  <c r="J59" i="7" s="1"/>
  <c r="I57" i="7"/>
  <c r="J57" i="7" s="1"/>
  <c r="I52" i="7"/>
  <c r="J52" i="7" s="1"/>
  <c r="I51" i="7"/>
  <c r="J51" i="7" s="1"/>
  <c r="I50" i="7"/>
  <c r="J50" i="7" s="1"/>
  <c r="I49" i="7"/>
  <c r="J49" i="7" s="1"/>
  <c r="I47" i="7"/>
  <c r="I46" i="7"/>
  <c r="I44" i="7"/>
  <c r="I41" i="7"/>
  <c r="J41" i="7" s="1"/>
  <c r="I40" i="7"/>
  <c r="J40" i="7" s="1"/>
  <c r="I30" i="7"/>
  <c r="J30" i="7" s="1"/>
  <c r="I27" i="7"/>
  <c r="J27" i="7" s="1"/>
  <c r="I25" i="7"/>
  <c r="J25" i="7" s="1"/>
  <c r="I24" i="7"/>
  <c r="J24" i="7" s="1"/>
  <c r="I23" i="7"/>
  <c r="J23" i="7" s="1"/>
  <c r="I21" i="7"/>
  <c r="J21" i="7" s="1"/>
  <c r="I20" i="7"/>
  <c r="J20" i="7" s="1"/>
  <c r="I19" i="7"/>
  <c r="I15" i="7"/>
  <c r="J15" i="7" s="1"/>
  <c r="I13" i="7"/>
  <c r="J13" i="7" s="1"/>
  <c r="H80" i="7"/>
  <c r="I80" i="7" s="1"/>
  <c r="H79" i="7"/>
  <c r="I79" i="7" s="1"/>
  <c r="J79" i="7" s="1"/>
  <c r="K82" i="7" l="1"/>
  <c r="K91" i="7" s="1"/>
  <c r="R15" i="27" s="1"/>
  <c r="T15" i="27" s="1"/>
  <c r="M65" i="7"/>
  <c r="M82" i="7" s="1"/>
  <c r="M91" i="7" s="1"/>
  <c r="H65" i="7"/>
  <c r="H18" i="7" l="1"/>
  <c r="I18" i="7" s="1"/>
  <c r="J18" i="7" s="1"/>
  <c r="H71" i="7" l="1"/>
  <c r="I71" i="7" s="1"/>
  <c r="J71" i="7" s="1"/>
  <c r="H42" i="7"/>
  <c r="I42" i="7" s="1"/>
  <c r="J42" i="7" s="1"/>
  <c r="H22" i="7"/>
  <c r="I22" i="7" s="1"/>
  <c r="J22" i="7" s="1"/>
  <c r="H16" i="7"/>
  <c r="I16" i="7" s="1"/>
  <c r="J16" i="7" s="1"/>
  <c r="H35" i="7"/>
  <c r="I35" i="7" s="1"/>
  <c r="J35" i="7" s="1"/>
  <c r="H17" i="7"/>
  <c r="I17" i="7" s="1"/>
  <c r="J17" i="7" s="1"/>
  <c r="H31" i="7"/>
  <c r="I31" i="7" s="1"/>
  <c r="J31" i="7" s="1"/>
  <c r="H36" i="7" l="1"/>
  <c r="I36" i="7" s="1"/>
  <c r="J36" i="7" s="1"/>
  <c r="H69" i="7" l="1"/>
  <c r="I69" i="7" s="1"/>
  <c r="J69" i="7" s="1"/>
  <c r="H56" i="7"/>
  <c r="I56" i="7" s="1"/>
  <c r="J56" i="7" s="1"/>
  <c r="H53" i="7"/>
  <c r="I53" i="7" s="1"/>
  <c r="J53" i="7" s="1"/>
  <c r="H39" i="7"/>
  <c r="I39" i="7" s="1"/>
  <c r="J39" i="7" s="1"/>
  <c r="H37" i="7"/>
  <c r="I37" i="7" s="1"/>
  <c r="J37" i="7" s="1"/>
  <c r="H32" i="7"/>
  <c r="I32" i="7" s="1"/>
  <c r="J32" i="7" s="1"/>
  <c r="H26" i="7"/>
  <c r="I26" i="7" s="1"/>
  <c r="J26" i="7" s="1"/>
  <c r="H12" i="7"/>
  <c r="I12" i="7" s="1"/>
  <c r="J12" i="7" s="1"/>
  <c r="H43" i="7" l="1"/>
  <c r="I43" i="7" s="1"/>
  <c r="J43" i="7" s="1"/>
  <c r="H29" i="7"/>
  <c r="I29" i="7" s="1"/>
  <c r="J29" i="7" s="1"/>
  <c r="H28" i="7"/>
  <c r="I28" i="7" s="1"/>
  <c r="J28" i="7" s="1"/>
  <c r="H10" i="7"/>
  <c r="I10" i="7" s="1"/>
  <c r="J10" i="7" s="1"/>
  <c r="H7" i="7"/>
  <c r="I7" i="7" s="1"/>
  <c r="J7" i="7" s="1"/>
  <c r="H72" i="7"/>
  <c r="I72" i="7" s="1"/>
  <c r="J72" i="7" s="1"/>
  <c r="H63" i="7"/>
  <c r="I63" i="7" s="1"/>
  <c r="J63" i="7" s="1"/>
  <c r="H62" i="7"/>
  <c r="I62" i="7" s="1"/>
  <c r="J62" i="7" s="1"/>
  <c r="H61" i="7"/>
  <c r="I61" i="7" s="1"/>
  <c r="J61" i="7" s="1"/>
  <c r="H58" i="7"/>
  <c r="I58" i="7" s="1"/>
  <c r="J58" i="7" s="1"/>
  <c r="H55" i="7"/>
  <c r="I55" i="7" s="1"/>
  <c r="J55" i="7" s="1"/>
  <c r="H54" i="7"/>
  <c r="I54" i="7" s="1"/>
  <c r="J54" i="7" s="1"/>
  <c r="H48" i="7"/>
  <c r="I48" i="7" s="1"/>
  <c r="J48" i="7" s="1"/>
  <c r="H45" i="7"/>
  <c r="I45" i="7" s="1"/>
  <c r="J45" i="7" s="1"/>
  <c r="H38" i="7"/>
  <c r="I38" i="7" s="1"/>
  <c r="J38" i="7" s="1"/>
  <c r="H34" i="7"/>
  <c r="I34" i="7" s="1"/>
  <c r="J34" i="7" s="1"/>
  <c r="H33" i="7"/>
  <c r="I33" i="7" s="1"/>
  <c r="J33" i="7" s="1"/>
  <c r="H14" i="7"/>
  <c r="I14" i="7" s="1"/>
  <c r="J14" i="7" s="1"/>
  <c r="H11" i="7"/>
  <c r="I11" i="7" s="1"/>
  <c r="J11" i="7" s="1"/>
  <c r="H9" i="7"/>
  <c r="I9" i="7" s="1"/>
  <c r="J9" i="7" s="1"/>
  <c r="H8" i="7"/>
  <c r="I8" i="7" s="1"/>
  <c r="J8" i="7" s="1"/>
  <c r="H5" i="7" l="1"/>
  <c r="I5" i="7" l="1"/>
  <c r="K12" i="12"/>
  <c r="K11" i="12"/>
  <c r="J5" i="7" l="1"/>
  <c r="K6" i="12"/>
  <c r="K22" i="12"/>
  <c r="K21" i="12"/>
  <c r="K20" i="12" l="1"/>
  <c r="D6" i="65" l="1"/>
  <c r="K58" i="59" l="1"/>
  <c r="K55" i="59"/>
  <c r="K54" i="59"/>
  <c r="K53" i="59"/>
  <c r="K52" i="59"/>
  <c r="K51" i="59"/>
  <c r="K47" i="59"/>
  <c r="K46" i="59"/>
  <c r="K43" i="59"/>
  <c r="K42" i="59"/>
  <c r="K40" i="59"/>
  <c r="K37" i="59"/>
  <c r="K35" i="59"/>
  <c r="K34" i="59"/>
  <c r="K33" i="59"/>
  <c r="K30" i="59"/>
  <c r="K29" i="59"/>
  <c r="K27" i="59"/>
  <c r="K26" i="59"/>
  <c r="K25" i="59"/>
  <c r="K24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8" i="59"/>
  <c r="K7" i="59"/>
  <c r="K9" i="59"/>
  <c r="G14" i="46" l="1"/>
  <c r="G13" i="46"/>
  <c r="H9" i="48"/>
  <c r="H8" i="48"/>
  <c r="H7" i="48"/>
  <c r="H6" i="48"/>
  <c r="H56" i="4"/>
  <c r="H51" i="4"/>
  <c r="H23" i="4"/>
  <c r="J16" i="37"/>
  <c r="J12" i="37"/>
  <c r="J10" i="37"/>
  <c r="G17" i="36"/>
  <c r="G14" i="36"/>
  <c r="I11" i="71" l="1"/>
  <c r="I15" i="70"/>
  <c r="I12" i="70"/>
  <c r="I10" i="70"/>
  <c r="M55" i="2"/>
  <c r="M18" i="2" l="1"/>
  <c r="H29" i="3"/>
  <c r="J32" i="30"/>
  <c r="J29" i="30"/>
  <c r="K29" i="30" s="1"/>
  <c r="J16" i="30"/>
  <c r="H67" i="7" l="1"/>
  <c r="I36" i="9"/>
  <c r="H14" i="9"/>
  <c r="I14" i="9" s="1"/>
  <c r="K26" i="9"/>
  <c r="J26" i="9"/>
  <c r="K23" i="9"/>
  <c r="J23" i="9"/>
  <c r="K21" i="9"/>
  <c r="J21" i="9"/>
  <c r="I5" i="9"/>
  <c r="K5" i="9" s="1"/>
  <c r="I67" i="7" l="1"/>
  <c r="J67" i="7" s="1"/>
  <c r="J5" i="9"/>
  <c r="K14" i="9"/>
  <c r="J14" i="9"/>
  <c r="K33" i="9"/>
  <c r="J33" i="9"/>
  <c r="Q17" i="27"/>
  <c r="P17" i="27"/>
  <c r="Q9" i="27"/>
  <c r="P9" i="27"/>
  <c r="O8" i="27"/>
  <c r="O7" i="27"/>
  <c r="N7" i="27"/>
  <c r="H31" i="9"/>
  <c r="H17" i="9"/>
  <c r="I17" i="9" s="1"/>
  <c r="J17" i="9" s="1"/>
  <c r="J90" i="7"/>
  <c r="J88" i="7"/>
  <c r="J87" i="7"/>
  <c r="J86" i="7"/>
  <c r="J85" i="7"/>
  <c r="J84" i="7"/>
  <c r="J83" i="7"/>
  <c r="I90" i="7"/>
  <c r="J31" i="9" l="1"/>
  <c r="O10" i="27"/>
  <c r="P10" i="27" s="1"/>
  <c r="Q7" i="27"/>
  <c r="P7" i="27"/>
  <c r="H81" i="7"/>
  <c r="I81" i="7" s="1"/>
  <c r="J81" i="7" s="1"/>
  <c r="H77" i="7"/>
  <c r="I77" i="7" s="1"/>
  <c r="J77" i="7" s="1"/>
  <c r="H74" i="7"/>
  <c r="I74" i="7" l="1"/>
  <c r="J74" i="7" s="1"/>
  <c r="H82" i="7"/>
  <c r="N66" i="59"/>
  <c r="N62" i="59"/>
  <c r="N33" i="59"/>
  <c r="M66" i="59"/>
  <c r="M62" i="59"/>
  <c r="M33" i="59"/>
  <c r="H91" i="7" l="1"/>
  <c r="AA14" i="26"/>
  <c r="AA13" i="26"/>
  <c r="O15" i="27" l="1"/>
  <c r="AC83" i="26"/>
  <c r="AB83" i="26"/>
  <c r="AC80" i="26"/>
  <c r="AB80" i="26"/>
  <c r="AB74" i="26"/>
  <c r="AB73" i="26"/>
  <c r="AB72" i="26"/>
  <c r="AC71" i="26"/>
  <c r="AB71" i="26"/>
  <c r="AB69" i="26"/>
  <c r="AC68" i="26"/>
  <c r="AB68" i="26"/>
  <c r="AC67" i="26"/>
  <c r="AB67" i="26"/>
  <c r="AC66" i="26"/>
  <c r="AB66" i="26"/>
  <c r="AC65" i="26"/>
  <c r="AB65" i="26"/>
  <c r="AB63" i="26"/>
  <c r="AB62" i="26"/>
  <c r="AB61" i="26"/>
  <c r="AB60" i="26"/>
  <c r="AB59" i="26"/>
  <c r="AC57" i="26"/>
  <c r="AB57" i="26"/>
  <c r="AC56" i="26"/>
  <c r="AB56" i="26"/>
  <c r="AC55" i="26"/>
  <c r="AB55" i="26"/>
  <c r="AC54" i="26"/>
  <c r="AB54" i="26"/>
  <c r="AC53" i="26"/>
  <c r="AB53" i="26"/>
  <c r="AC52" i="26"/>
  <c r="AB52" i="26"/>
  <c r="AB48" i="26"/>
  <c r="AB47" i="26"/>
  <c r="AB46" i="26"/>
  <c r="AB45" i="26"/>
  <c r="AB44" i="26"/>
  <c r="AB43" i="26"/>
  <c r="AB42" i="26"/>
  <c r="AB41" i="26"/>
  <c r="AC40" i="26"/>
  <c r="AB40" i="26"/>
  <c r="AB37" i="26"/>
  <c r="AC35" i="26"/>
  <c r="AB35" i="26"/>
  <c r="AC33" i="26"/>
  <c r="AB33" i="26"/>
  <c r="J58" i="59"/>
  <c r="N58" i="59" s="1"/>
  <c r="J57" i="59"/>
  <c r="J56" i="59"/>
  <c r="J55" i="59"/>
  <c r="J54" i="59"/>
  <c r="N54" i="59" s="1"/>
  <c r="J53" i="59"/>
  <c r="M53" i="59" s="1"/>
  <c r="J52" i="59"/>
  <c r="M52" i="59" s="1"/>
  <c r="J51" i="59"/>
  <c r="M51" i="59" s="1"/>
  <c r="J50" i="59"/>
  <c r="J49" i="59"/>
  <c r="J48" i="59"/>
  <c r="J47" i="59"/>
  <c r="M47" i="59" s="1"/>
  <c r="J46" i="59"/>
  <c r="M46" i="59" s="1"/>
  <c r="J45" i="59"/>
  <c r="J44" i="59"/>
  <c r="J43" i="59"/>
  <c r="N43" i="59" s="1"/>
  <c r="J42" i="59"/>
  <c r="N42" i="59" s="1"/>
  <c r="J41" i="59"/>
  <c r="J40" i="59"/>
  <c r="J39" i="59"/>
  <c r="J38" i="59"/>
  <c r="J37" i="59"/>
  <c r="J36" i="59"/>
  <c r="J35" i="59"/>
  <c r="N35" i="59" s="1"/>
  <c r="J34" i="59"/>
  <c r="N34" i="59" s="1"/>
  <c r="J32" i="59"/>
  <c r="J30" i="59"/>
  <c r="J29" i="59"/>
  <c r="N29" i="59" s="1"/>
  <c r="J28" i="59"/>
  <c r="J27" i="59"/>
  <c r="M27" i="59" s="1"/>
  <c r="J26" i="59"/>
  <c r="M26" i="59" s="1"/>
  <c r="J25" i="59"/>
  <c r="N25" i="59" s="1"/>
  <c r="J24" i="59"/>
  <c r="N24" i="59" s="1"/>
  <c r="J23" i="59"/>
  <c r="J22" i="59"/>
  <c r="N22" i="59" s="1"/>
  <c r="J21" i="59"/>
  <c r="N21" i="59" s="1"/>
  <c r="J20" i="59"/>
  <c r="N20" i="59" s="1"/>
  <c r="J19" i="59"/>
  <c r="J18" i="59"/>
  <c r="M18" i="59" s="1"/>
  <c r="J17" i="59"/>
  <c r="M17" i="59" s="1"/>
  <c r="J16" i="59"/>
  <c r="M16" i="59" s="1"/>
  <c r="J15" i="59"/>
  <c r="N15" i="59" s="1"/>
  <c r="J14" i="59"/>
  <c r="N14" i="59" s="1"/>
  <c r="J13" i="59"/>
  <c r="N13" i="59" s="1"/>
  <c r="J12" i="59"/>
  <c r="N12" i="59" s="1"/>
  <c r="J11" i="59"/>
  <c r="N11" i="59" s="1"/>
  <c r="J10" i="59"/>
  <c r="J9" i="59"/>
  <c r="M9" i="59" s="1"/>
  <c r="J8" i="59"/>
  <c r="N8" i="59" s="1"/>
  <c r="J7" i="59"/>
  <c r="M7" i="59" s="1"/>
  <c r="J6" i="59"/>
  <c r="I20" i="37"/>
  <c r="I19" i="37"/>
  <c r="I18" i="37"/>
  <c r="I17" i="37"/>
  <c r="I16" i="37"/>
  <c r="I15" i="37"/>
  <c r="I14" i="37"/>
  <c r="I13" i="37"/>
  <c r="I12" i="37"/>
  <c r="I11" i="37"/>
  <c r="I10" i="37"/>
  <c r="I9" i="37"/>
  <c r="I8" i="37"/>
  <c r="I7" i="37"/>
  <c r="I6" i="37"/>
  <c r="Z84" i="26"/>
  <c r="AB84" i="26" s="1"/>
  <c r="Z81" i="26"/>
  <c r="AB81" i="26" s="1"/>
  <c r="Z31" i="26"/>
  <c r="AC31" i="26" s="1"/>
  <c r="G6" i="66"/>
  <c r="Z50" i="26" s="1"/>
  <c r="G5" i="48"/>
  <c r="G27" i="48" s="1"/>
  <c r="Z64" i="26" s="1"/>
  <c r="G8" i="4"/>
  <c r="G59" i="4" s="1"/>
  <c r="Z49" i="26" s="1"/>
  <c r="G38" i="3"/>
  <c r="Z36" i="26" s="1"/>
  <c r="I6" i="30"/>
  <c r="I37" i="30" s="1"/>
  <c r="Z34" i="26" s="1"/>
  <c r="L50" i="2"/>
  <c r="L19" i="2"/>
  <c r="L7" i="2"/>
  <c r="I23" i="37" l="1"/>
  <c r="Z39" i="26" s="1"/>
  <c r="AC81" i="26"/>
  <c r="L56" i="2"/>
  <c r="Z21" i="26" s="1"/>
  <c r="AB31" i="26"/>
  <c r="AC84" i="26"/>
  <c r="N17" i="59"/>
  <c r="N7" i="59"/>
  <c r="M20" i="59"/>
  <c r="N9" i="59"/>
  <c r="M11" i="59"/>
  <c r="N51" i="59"/>
  <c r="N47" i="59"/>
  <c r="N53" i="59"/>
  <c r="M29" i="59"/>
  <c r="N27" i="59"/>
  <c r="N16" i="59"/>
  <c r="M34" i="59"/>
  <c r="M8" i="59"/>
  <c r="M6" i="59"/>
  <c r="N30" i="59"/>
  <c r="M30" i="59"/>
  <c r="N40" i="59"/>
  <c r="M40" i="59"/>
  <c r="M19" i="59"/>
  <c r="N19" i="59"/>
  <c r="N32" i="59"/>
  <c r="M32" i="59"/>
  <c r="N37" i="59"/>
  <c r="M37" i="59"/>
  <c r="M42" i="59"/>
  <c r="M22" i="59"/>
  <c r="M13" i="59"/>
  <c r="M54" i="59"/>
  <c r="M35" i="59"/>
  <c r="M21" i="59"/>
  <c r="M12" i="59"/>
  <c r="N52" i="59"/>
  <c r="N18" i="59"/>
  <c r="N36" i="59"/>
  <c r="M36" i="59"/>
  <c r="N26" i="59"/>
  <c r="M28" i="59"/>
  <c r="N28" i="59"/>
  <c r="N46" i="59"/>
  <c r="M25" i="59"/>
  <c r="M15" i="59"/>
  <c r="M58" i="59"/>
  <c r="M43" i="59"/>
  <c r="M24" i="59"/>
  <c r="M14" i="59"/>
  <c r="N55" i="59"/>
  <c r="M55" i="59"/>
  <c r="J59" i="59"/>
  <c r="Z86" i="26"/>
  <c r="Z10" i="26" l="1"/>
  <c r="M53" i="2"/>
  <c r="H17" i="3" l="1"/>
  <c r="J36" i="30" l="1"/>
  <c r="I13" i="46" l="1"/>
  <c r="H13" i="46"/>
  <c r="G12" i="46"/>
  <c r="H12" i="46" s="1"/>
  <c r="H5" i="66" l="1"/>
  <c r="H20" i="48"/>
  <c r="I5" i="66" l="1"/>
  <c r="J5" i="66"/>
  <c r="I20" i="48"/>
  <c r="J20" i="48"/>
  <c r="H21" i="48"/>
  <c r="J21" i="48" l="1"/>
  <c r="I21" i="48"/>
  <c r="J51" i="4" l="1"/>
  <c r="J44" i="4"/>
  <c r="J38" i="4"/>
  <c r="J35" i="4"/>
  <c r="J18" i="4"/>
  <c r="J17" i="4"/>
  <c r="I56" i="4"/>
  <c r="I55" i="4"/>
  <c r="I53" i="4"/>
  <c r="I52" i="4"/>
  <c r="I51" i="4"/>
  <c r="I50" i="4"/>
  <c r="I49" i="4"/>
  <c r="I44" i="4"/>
  <c r="I39" i="4"/>
  <c r="I38" i="4"/>
  <c r="I35" i="4"/>
  <c r="I31" i="4"/>
  <c r="I28" i="4"/>
  <c r="I24" i="4"/>
  <c r="I23" i="4"/>
  <c r="I21" i="4"/>
  <c r="I20" i="4"/>
  <c r="I18" i="4"/>
  <c r="I17" i="4"/>
  <c r="I16" i="4"/>
  <c r="I14" i="4"/>
  <c r="I7" i="4"/>
  <c r="H58" i="4"/>
  <c r="J58" i="4" s="1"/>
  <c r="H57" i="4"/>
  <c r="I57" i="4" s="1"/>
  <c r="H54" i="4"/>
  <c r="I54" i="4" s="1"/>
  <c r="H48" i="4"/>
  <c r="I48" i="4" s="1"/>
  <c r="H45" i="4"/>
  <c r="J45" i="4" s="1"/>
  <c r="H19" i="4"/>
  <c r="I19" i="4" s="1"/>
  <c r="L20" i="37"/>
  <c r="L16" i="37"/>
  <c r="L10" i="37"/>
  <c r="K20" i="37"/>
  <c r="K17" i="37"/>
  <c r="K16" i="37"/>
  <c r="K14" i="37"/>
  <c r="K13" i="37"/>
  <c r="K11" i="37"/>
  <c r="K10" i="37"/>
  <c r="K9" i="37"/>
  <c r="K7" i="37"/>
  <c r="J19" i="37"/>
  <c r="K19" i="37" s="1"/>
  <c r="L12" i="37"/>
  <c r="J8" i="37"/>
  <c r="L8" i="37" s="1"/>
  <c r="I14" i="36"/>
  <c r="I5" i="36"/>
  <c r="H14" i="36"/>
  <c r="H13" i="36"/>
  <c r="H11" i="36"/>
  <c r="H5" i="36"/>
  <c r="I17" i="36"/>
  <c r="G10" i="36"/>
  <c r="I10" i="36" s="1"/>
  <c r="I45" i="4" l="1"/>
  <c r="K8" i="37"/>
  <c r="I58" i="4"/>
  <c r="J54" i="4"/>
  <c r="L19" i="37"/>
  <c r="H10" i="36"/>
  <c r="H17" i="36"/>
  <c r="J57" i="4"/>
  <c r="K12" i="37"/>
  <c r="J30" i="3" l="1"/>
  <c r="J17" i="3"/>
  <c r="J7" i="3"/>
  <c r="I37" i="3"/>
  <c r="I36" i="3"/>
  <c r="I34" i="3"/>
  <c r="I33" i="3"/>
  <c r="I31" i="3"/>
  <c r="I30" i="3"/>
  <c r="I29" i="3"/>
  <c r="I26" i="3"/>
  <c r="I25" i="3"/>
  <c r="I24" i="3"/>
  <c r="I23" i="3"/>
  <c r="I21" i="3"/>
  <c r="I20" i="3"/>
  <c r="I18" i="3"/>
  <c r="I17" i="3"/>
  <c r="I16" i="3"/>
  <c r="I15" i="3"/>
  <c r="I14" i="3"/>
  <c r="I13" i="3"/>
  <c r="I7" i="3"/>
  <c r="H32" i="3"/>
  <c r="I32" i="3" s="1"/>
  <c r="H19" i="3"/>
  <c r="J19" i="3" s="1"/>
  <c r="L36" i="30"/>
  <c r="L32" i="30"/>
  <c r="L27" i="30"/>
  <c r="K36" i="30"/>
  <c r="K32" i="30"/>
  <c r="K27" i="30"/>
  <c r="J35" i="30"/>
  <c r="K35" i="30" s="1"/>
  <c r="J34" i="30"/>
  <c r="L34" i="30" s="1"/>
  <c r="J30" i="30"/>
  <c r="K30" i="30" s="1"/>
  <c r="J28" i="30"/>
  <c r="L28" i="30" s="1"/>
  <c r="J17" i="30"/>
  <c r="K17" i="30" s="1"/>
  <c r="K16" i="30"/>
  <c r="I8" i="71"/>
  <c r="O53" i="2"/>
  <c r="O25" i="2"/>
  <c r="O18" i="2"/>
  <c r="N53" i="2"/>
  <c r="N49" i="2"/>
  <c r="N43" i="2"/>
  <c r="N38" i="2"/>
  <c r="N37" i="2"/>
  <c r="N36" i="2"/>
  <c r="N35" i="2"/>
  <c r="N34" i="2"/>
  <c r="N33" i="2"/>
  <c r="N32" i="2"/>
  <c r="N29" i="2"/>
  <c r="N28" i="2"/>
  <c r="N25" i="2"/>
  <c r="N24" i="2"/>
  <c r="N21" i="2"/>
  <c r="N20" i="2"/>
  <c r="N18" i="2"/>
  <c r="N16" i="2"/>
  <c r="N15" i="2"/>
  <c r="L35" i="30" l="1"/>
  <c r="J32" i="3"/>
  <c r="L30" i="30"/>
  <c r="K28" i="30"/>
  <c r="K34" i="30"/>
  <c r="I19" i="3"/>
  <c r="M51" i="2"/>
  <c r="M50" i="2"/>
  <c r="N51" i="2" l="1"/>
  <c r="O51" i="2"/>
  <c r="M52" i="2"/>
  <c r="M14" i="2"/>
  <c r="M13" i="2"/>
  <c r="O14" i="2" l="1"/>
  <c r="N14" i="2"/>
  <c r="N52" i="2"/>
  <c r="O52" i="2"/>
  <c r="O13" i="2"/>
  <c r="N13" i="2"/>
  <c r="N55" i="2"/>
  <c r="O55" i="2"/>
  <c r="K7" i="2" l="1"/>
  <c r="I59" i="59" l="1"/>
  <c r="C22" i="74" l="1"/>
  <c r="AD82" i="26" s="1"/>
  <c r="AD86" i="26" l="1"/>
  <c r="AH86" i="26" s="1"/>
  <c r="AH82" i="26"/>
  <c r="F15" i="73"/>
  <c r="D13" i="73"/>
  <c r="E12" i="73"/>
  <c r="E13" i="73" s="1"/>
  <c r="F9" i="73"/>
  <c r="E8" i="73"/>
  <c r="E7" i="73"/>
  <c r="E9" i="73" l="1"/>
  <c r="D9" i="73"/>
  <c r="D8" i="68"/>
  <c r="E7" i="72"/>
  <c r="E12" i="72" s="1"/>
  <c r="E28" i="72"/>
  <c r="H7" i="19"/>
  <c r="H6" i="19"/>
  <c r="J9" i="12" l="1"/>
  <c r="G65" i="7" l="1"/>
  <c r="I65" i="7" s="1"/>
  <c r="K50" i="2"/>
  <c r="J65" i="7" l="1"/>
  <c r="I82" i="7"/>
  <c r="O50" i="2"/>
  <c r="N50" i="2"/>
  <c r="G11" i="11"/>
  <c r="G15" i="11" s="1"/>
  <c r="G17" i="11" s="1"/>
  <c r="K19" i="2"/>
  <c r="G14" i="29"/>
  <c r="G7" i="29"/>
  <c r="E8" i="29"/>
  <c r="E12" i="29" s="1"/>
  <c r="E16" i="29" s="1"/>
  <c r="J65" i="59"/>
  <c r="G12" i="29" l="1"/>
  <c r="N65" i="59"/>
  <c r="M65" i="59"/>
  <c r="C12" i="10"/>
  <c r="C16" i="10" s="1"/>
  <c r="C18" i="10" s="1"/>
  <c r="Y50" i="26" l="1"/>
  <c r="V50" i="26"/>
  <c r="U50" i="26"/>
  <c r="X73" i="26"/>
  <c r="X71" i="26"/>
  <c r="X68" i="26"/>
  <c r="X67" i="26"/>
  <c r="X66" i="26"/>
  <c r="X65" i="26"/>
  <c r="X62" i="26"/>
  <c r="X60" i="26"/>
  <c r="X59" i="26"/>
  <c r="X57" i="26"/>
  <c r="X56" i="26"/>
  <c r="X55" i="26"/>
  <c r="X54" i="26"/>
  <c r="X53" i="26"/>
  <c r="X52" i="26"/>
  <c r="X48" i="26"/>
  <c r="X47" i="26"/>
  <c r="X46" i="26"/>
  <c r="X45" i="26"/>
  <c r="X44" i="26"/>
  <c r="X43" i="26"/>
  <c r="X42" i="26"/>
  <c r="X41" i="26"/>
  <c r="X40" i="26"/>
  <c r="X37" i="26"/>
  <c r="X35" i="26"/>
  <c r="X33" i="26"/>
  <c r="X31" i="26"/>
  <c r="Z14" i="26"/>
  <c r="U13" i="26"/>
  <c r="U14" i="26"/>
  <c r="U12" i="26"/>
  <c r="AB14" i="26" l="1"/>
  <c r="AC14" i="26"/>
  <c r="X50" i="26"/>
  <c r="G89" i="7" l="1"/>
  <c r="E20" i="9"/>
  <c r="J89" i="7" l="1"/>
  <c r="I89" i="7"/>
  <c r="E21" i="9"/>
  <c r="F21" i="9" s="1"/>
  <c r="F37" i="9"/>
  <c r="F32" i="9"/>
  <c r="F31" i="9"/>
  <c r="F27" i="9"/>
  <c r="F26" i="9"/>
  <c r="F20" i="9"/>
  <c r="F19" i="9"/>
  <c r="F18" i="9"/>
  <c r="F16" i="9"/>
  <c r="F13" i="9"/>
  <c r="F11" i="9"/>
  <c r="F10" i="9"/>
  <c r="F8" i="9"/>
  <c r="F7" i="9"/>
  <c r="E35" i="9"/>
  <c r="F35" i="9" s="1"/>
  <c r="E33" i="9"/>
  <c r="F33" i="9" s="1"/>
  <c r="E23" i="9"/>
  <c r="F23" i="9" s="1"/>
  <c r="E22" i="9"/>
  <c r="F22" i="9" s="1"/>
  <c r="E25" i="9"/>
  <c r="F25" i="9" s="1"/>
  <c r="E14" i="9"/>
  <c r="F14" i="9" s="1"/>
  <c r="E12" i="9"/>
  <c r="F12" i="9" s="1"/>
  <c r="E9" i="9"/>
  <c r="F9" i="9" s="1"/>
  <c r="E6" i="9"/>
  <c r="F6" i="9" s="1"/>
  <c r="E5" i="9"/>
  <c r="F5" i="9" s="1"/>
  <c r="D36" i="9" l="1"/>
  <c r="D28" i="9"/>
  <c r="D38" i="9" l="1"/>
  <c r="I7" i="2" l="1"/>
  <c r="F6" i="55"/>
  <c r="E7" i="55"/>
  <c r="E8" i="55"/>
  <c r="E13" i="55"/>
  <c r="E55" i="55"/>
  <c r="E54" i="55"/>
  <c r="E53" i="55"/>
  <c r="E52" i="55"/>
  <c r="E51" i="55"/>
  <c r="E49" i="55"/>
  <c r="E48" i="55"/>
  <c r="E47" i="55"/>
  <c r="E46" i="55"/>
  <c r="E45" i="55"/>
  <c r="E44" i="55"/>
  <c r="E43" i="55"/>
  <c r="E42" i="55"/>
  <c r="E41" i="55"/>
  <c r="E40" i="55"/>
  <c r="E39" i="55"/>
  <c r="E37" i="55"/>
  <c r="E36" i="55"/>
  <c r="E35" i="55"/>
  <c r="E33" i="55"/>
  <c r="E29" i="55"/>
  <c r="E27" i="55"/>
  <c r="E25" i="55"/>
  <c r="E24" i="55"/>
  <c r="E23" i="55"/>
  <c r="E22" i="55"/>
  <c r="E21" i="55"/>
  <c r="E14" i="46"/>
  <c r="F27" i="48"/>
  <c r="Y64" i="26" s="1"/>
  <c r="D15" i="46"/>
  <c r="U70" i="26" s="1"/>
  <c r="E9" i="46"/>
  <c r="E5" i="46"/>
  <c r="D9" i="48"/>
  <c r="C9" i="48"/>
  <c r="D8" i="48"/>
  <c r="C8" i="48"/>
  <c r="D7" i="48"/>
  <c r="C7" i="48"/>
  <c r="D6" i="48"/>
  <c r="C6" i="48"/>
  <c r="D5" i="48"/>
  <c r="C5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10" i="52"/>
  <c r="E9" i="52"/>
  <c r="E8" i="52"/>
  <c r="E7" i="52"/>
  <c r="E6" i="52"/>
  <c r="E5" i="52"/>
  <c r="E5" i="66"/>
  <c r="E7" i="48" l="1"/>
  <c r="E5" i="48"/>
  <c r="E9" i="48"/>
  <c r="E8" i="48"/>
  <c r="E6" i="48"/>
  <c r="D36" i="4"/>
  <c r="D45" i="4"/>
  <c r="F20" i="36"/>
  <c r="Z38" i="26" s="1"/>
  <c r="D15" i="36"/>
  <c r="F10" i="34"/>
  <c r="H37" i="30"/>
  <c r="E15" i="33" l="1"/>
  <c r="F12" i="32"/>
  <c r="H23" i="71"/>
  <c r="Z27" i="26" s="1"/>
  <c r="E23" i="71"/>
  <c r="V27" i="26" s="1"/>
  <c r="H3" i="71"/>
  <c r="H2" i="71"/>
  <c r="H31" i="70"/>
  <c r="Z26" i="26" s="1"/>
  <c r="E31" i="70"/>
  <c r="F16" i="70"/>
  <c r="F20" i="70"/>
  <c r="F18" i="70"/>
  <c r="I31" i="2"/>
  <c r="F31" i="70" l="1"/>
  <c r="U26" i="26" s="1"/>
  <c r="V26" i="26"/>
  <c r="F23" i="71"/>
  <c r="U27" i="26" s="1"/>
  <c r="X27" i="26" s="1"/>
  <c r="X26" i="26" l="1"/>
  <c r="G31" i="70"/>
  <c r="G23" i="71"/>
  <c r="H3" i="70"/>
  <c r="H2" i="70"/>
  <c r="F81" i="7" l="1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5" i="7"/>
  <c r="J7" i="2"/>
  <c r="I5" i="2"/>
  <c r="J5" i="2" s="1"/>
  <c r="J6" i="2"/>
  <c r="E58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6" i="4"/>
  <c r="E5" i="4"/>
  <c r="D26" i="4"/>
  <c r="E26" i="4" s="1"/>
  <c r="G22" i="37"/>
  <c r="G21" i="37"/>
  <c r="G20" i="37"/>
  <c r="G19" i="37"/>
  <c r="G18" i="37"/>
  <c r="G17" i="37"/>
  <c r="G15" i="37"/>
  <c r="G14" i="37"/>
  <c r="G13" i="37"/>
  <c r="G12" i="37"/>
  <c r="G11" i="37"/>
  <c r="G10" i="37"/>
  <c r="G9" i="37"/>
  <c r="G8" i="37"/>
  <c r="G6" i="37"/>
  <c r="G5" i="37"/>
  <c r="F16" i="37"/>
  <c r="G16" i="37" s="1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2" i="3"/>
  <c r="E11" i="3"/>
  <c r="E10" i="3"/>
  <c r="E9" i="3"/>
  <c r="E8" i="3"/>
  <c r="E6" i="3"/>
  <c r="E5" i="3"/>
  <c r="G36" i="30"/>
  <c r="G35" i="30"/>
  <c r="G34" i="30"/>
  <c r="G33" i="30"/>
  <c r="G32" i="30"/>
  <c r="G31" i="30"/>
  <c r="G30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1" i="30"/>
  <c r="G10" i="30"/>
  <c r="G9" i="30"/>
  <c r="G8" i="30"/>
  <c r="G7" i="30"/>
  <c r="G6" i="30"/>
  <c r="G5" i="30"/>
  <c r="I56" i="2" l="1"/>
  <c r="U21" i="26" s="1"/>
  <c r="C56" i="55"/>
  <c r="C15" i="55"/>
  <c r="C10" i="55"/>
  <c r="G2" i="7"/>
  <c r="G1" i="7"/>
  <c r="G2" i="9"/>
  <c r="G1" i="9"/>
  <c r="F1" i="46"/>
  <c r="F2" i="47"/>
  <c r="F1" i="47"/>
  <c r="F2" i="48"/>
  <c r="F1" i="48"/>
  <c r="C17" i="55" l="1"/>
  <c r="F2" i="52"/>
  <c r="F1" i="52"/>
  <c r="F2" i="39"/>
  <c r="F1" i="39"/>
  <c r="F2" i="66"/>
  <c r="F1" i="66"/>
  <c r="C5" i="39"/>
  <c r="E5" i="39" s="1"/>
  <c r="F2" i="3"/>
  <c r="F1" i="3"/>
  <c r="F2" i="4"/>
  <c r="F1" i="4"/>
  <c r="J2" i="30"/>
  <c r="E37" i="30"/>
  <c r="V34" i="26" s="1"/>
  <c r="H2" i="34" l="1"/>
  <c r="H1" i="34"/>
  <c r="F2" i="33"/>
  <c r="F1" i="33"/>
  <c r="G2" i="32"/>
  <c r="G1" i="32"/>
  <c r="E6" i="31"/>
  <c r="E5" i="31"/>
  <c r="F2" i="31"/>
  <c r="F1" i="31"/>
  <c r="C7" i="31"/>
  <c r="V28" i="26" s="1"/>
  <c r="K2" i="2"/>
  <c r="K1" i="2"/>
  <c r="H65" i="59" l="1"/>
  <c r="V14" i="26" s="1"/>
  <c r="H9" i="59" l="1"/>
  <c r="Y15" i="26" l="1"/>
  <c r="X11" i="26"/>
  <c r="H8" i="19" l="1"/>
  <c r="D12" i="65" l="1"/>
  <c r="H14" i="19" l="1"/>
  <c r="I9" i="11" l="1"/>
  <c r="I8" i="11"/>
  <c r="I7" i="11"/>
  <c r="I6" i="11"/>
  <c r="Y61" i="26" l="1"/>
  <c r="H36" i="9"/>
  <c r="H23" i="37"/>
  <c r="F18" i="33" l="1"/>
  <c r="G15" i="32"/>
  <c r="Z29" i="26" s="1"/>
  <c r="K56" i="2"/>
  <c r="G32" i="9"/>
  <c r="E36" i="9"/>
  <c r="F36" i="9" s="1"/>
  <c r="Z30" i="26" l="1"/>
  <c r="AD30" i="26"/>
  <c r="G8" i="9"/>
  <c r="G22" i="9"/>
  <c r="G19" i="9"/>
  <c r="J19" i="9" s="1"/>
  <c r="G16" i="9"/>
  <c r="J16" i="9" s="1"/>
  <c r="G13" i="9"/>
  <c r="J13" i="9" s="1"/>
  <c r="G11" i="9"/>
  <c r="J11" i="9" s="1"/>
  <c r="G10" i="9"/>
  <c r="J10" i="9" s="1"/>
  <c r="AD75" i="26" l="1"/>
  <c r="AD88" i="26" s="1"/>
  <c r="AH30" i="26"/>
  <c r="AH75" i="26" s="1"/>
  <c r="AH88" i="26" s="1"/>
  <c r="J22" i="9"/>
  <c r="K22" i="9"/>
  <c r="G28" i="9"/>
  <c r="E28" i="9"/>
  <c r="Y86" i="26"/>
  <c r="X15" i="26"/>
  <c r="X81" i="26"/>
  <c r="X80" i="26"/>
  <c r="X85" i="26"/>
  <c r="X84" i="26"/>
  <c r="X83" i="26"/>
  <c r="N6" i="27" l="1"/>
  <c r="F28" i="9"/>
  <c r="E38" i="9"/>
  <c r="F38" i="9" s="1"/>
  <c r="H21" i="59" l="1"/>
  <c r="H8" i="59"/>
  <c r="H12" i="59"/>
  <c r="H59" i="59" l="1"/>
  <c r="V10" i="26" s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2" i="2"/>
  <c r="J21" i="2"/>
  <c r="J18" i="2"/>
  <c r="J16" i="2"/>
  <c r="J15" i="2"/>
  <c r="J13" i="2"/>
  <c r="J11" i="2"/>
  <c r="J8" i="2"/>
  <c r="J19" i="2"/>
  <c r="J17" i="2"/>
  <c r="X82" i="26" l="1"/>
  <c r="X86" i="26" s="1"/>
  <c r="F15" i="68" l="1"/>
  <c r="E12" i="68"/>
  <c r="E14" i="68" s="1"/>
  <c r="E8" i="68"/>
  <c r="E7" i="68"/>
  <c r="E9" i="68" l="1"/>
  <c r="G56" i="55"/>
  <c r="F15" i="55"/>
  <c r="E10" i="55" l="1"/>
  <c r="W85" i="26"/>
  <c r="W82" i="26"/>
  <c r="W72" i="26"/>
  <c r="W71" i="26"/>
  <c r="W68" i="26"/>
  <c r="W67" i="26"/>
  <c r="W66" i="26"/>
  <c r="W65" i="26"/>
  <c r="W57" i="26"/>
  <c r="W56" i="26"/>
  <c r="W55" i="26"/>
  <c r="W54" i="26"/>
  <c r="W53" i="26"/>
  <c r="W52" i="26"/>
  <c r="W50" i="26"/>
  <c r="W35" i="26"/>
  <c r="W33" i="26"/>
  <c r="W31" i="26"/>
  <c r="W27" i="26"/>
  <c r="W26" i="26"/>
  <c r="H7" i="50"/>
  <c r="H9" i="50"/>
  <c r="W86" i="26" l="1"/>
  <c r="H17" i="50"/>
  <c r="W74" i="26" s="1"/>
  <c r="J12" i="2" l="1"/>
  <c r="J9" i="2"/>
  <c r="J23" i="2"/>
  <c r="J10" i="2" l="1"/>
  <c r="J14" i="2" l="1"/>
  <c r="E5" i="65" l="1"/>
  <c r="E12" i="65" l="1"/>
  <c r="E14" i="65" s="1"/>
  <c r="E6" i="65"/>
  <c r="E8" i="65" s="1"/>
  <c r="F14" i="65"/>
  <c r="F8" i="65"/>
  <c r="C14" i="65"/>
  <c r="C8" i="65"/>
  <c r="J10" i="19" l="1"/>
  <c r="J14" i="19" s="1"/>
  <c r="M11" i="12" s="1"/>
  <c r="I8" i="19"/>
  <c r="I7" i="19"/>
  <c r="I6" i="19"/>
  <c r="I5" i="19"/>
  <c r="J16" i="19" l="1"/>
  <c r="I10" i="19"/>
  <c r="J11" i="11"/>
  <c r="J15" i="11" s="1"/>
  <c r="G35" i="9" l="1"/>
  <c r="G36" i="9" s="1"/>
  <c r="G38" i="9" s="1"/>
  <c r="L35" i="9"/>
  <c r="N35" i="9" s="1"/>
  <c r="N36" i="9" s="1"/>
  <c r="N8" i="27"/>
  <c r="J35" i="9" l="1"/>
  <c r="R8" i="27"/>
  <c r="T8" i="27" s="1"/>
  <c r="L36" i="9"/>
  <c r="K35" i="9"/>
  <c r="Q8" i="27"/>
  <c r="P8" i="27"/>
  <c r="N11" i="27"/>
  <c r="K36" i="9"/>
  <c r="J36" i="9"/>
  <c r="L12" i="12"/>
  <c r="L5" i="12" l="1"/>
  <c r="G16" i="29" l="1"/>
  <c r="H8" i="29"/>
  <c r="G6" i="29"/>
  <c r="G5" i="29"/>
  <c r="H64" i="59" l="1"/>
  <c r="V13" i="26" s="1"/>
  <c r="H16" i="29"/>
  <c r="G8" i="29"/>
  <c r="J17" i="11"/>
  <c r="J64" i="59" l="1"/>
  <c r="Z13" i="26"/>
  <c r="E16" i="10"/>
  <c r="M64" i="59" l="1"/>
  <c r="N64" i="59"/>
  <c r="AB13" i="26"/>
  <c r="AC13" i="26"/>
  <c r="W14" i="26"/>
  <c r="E5" i="10"/>
  <c r="F12" i="10"/>
  <c r="F16" i="10" s="1"/>
  <c r="O63" i="59" s="1"/>
  <c r="Q63" i="59" s="1"/>
  <c r="Q68" i="59" s="1"/>
  <c r="Q69" i="59" s="1"/>
  <c r="C20" i="60"/>
  <c r="AD12" i="26" l="1"/>
  <c r="O68" i="59"/>
  <c r="O69" i="59" s="1"/>
  <c r="H63" i="59"/>
  <c r="V12" i="26" s="1"/>
  <c r="W12" i="26" s="1"/>
  <c r="F18" i="10"/>
  <c r="C14" i="60"/>
  <c r="AD17" i="26" l="1"/>
  <c r="AD91" i="26" s="1"/>
  <c r="AD93" i="26" s="1"/>
  <c r="AH12" i="26"/>
  <c r="AH17" i="26" s="1"/>
  <c r="H68" i="59"/>
  <c r="H69" i="59" s="1"/>
  <c r="J63" i="59"/>
  <c r="J68" i="59" s="1"/>
  <c r="I68" i="59"/>
  <c r="I69" i="59" s="1"/>
  <c r="E10" i="10"/>
  <c r="Z12" i="26" l="1"/>
  <c r="Y17" i="26"/>
  <c r="M63" i="59"/>
  <c r="M68" i="59" s="1"/>
  <c r="N63" i="59"/>
  <c r="E20" i="36"/>
  <c r="F38" i="3"/>
  <c r="N68" i="59" l="1"/>
  <c r="J69" i="59"/>
  <c r="AC12" i="26"/>
  <c r="Z17" i="26"/>
  <c r="AB12" i="26"/>
  <c r="V74" i="26"/>
  <c r="Y63" i="26"/>
  <c r="V61" i="26"/>
  <c r="W61" i="26" s="1"/>
  <c r="H6" i="66"/>
  <c r="AA50" i="26" s="1"/>
  <c r="AB50" i="26" l="1"/>
  <c r="AC50" i="26"/>
  <c r="D27" i="48"/>
  <c r="U64" i="26" s="1"/>
  <c r="F59" i="4"/>
  <c r="H14" i="2"/>
  <c r="Y49" i="26" l="1"/>
  <c r="E15" i="32"/>
  <c r="F15" i="32"/>
  <c r="E27" i="48"/>
  <c r="W64" i="26" s="1"/>
  <c r="D18" i="33"/>
  <c r="E18" i="33"/>
  <c r="E12" i="34"/>
  <c r="U32" i="26" s="1"/>
  <c r="G12" i="34"/>
  <c r="Z32" i="26" s="1"/>
  <c r="H12" i="2"/>
  <c r="H11" i="2"/>
  <c r="H8" i="2"/>
  <c r="H7" i="2"/>
  <c r="H5" i="2"/>
  <c r="U29" i="26" l="1"/>
  <c r="U30" i="26"/>
  <c r="W28" i="26"/>
  <c r="H56" i="2"/>
  <c r="W13" i="26"/>
  <c r="W34" i="26" l="1"/>
  <c r="X13" i="26"/>
  <c r="X12" i="26"/>
  <c r="X14" i="26"/>
  <c r="U74" i="26"/>
  <c r="X74" i="26" s="1"/>
  <c r="F6" i="39"/>
  <c r="Y58" i="26" s="1"/>
  <c r="Z58" i="26" s="1"/>
  <c r="F6" i="66"/>
  <c r="D20" i="36"/>
  <c r="U38" i="26" s="1"/>
  <c r="D56" i="2"/>
  <c r="H72" i="2" s="1"/>
  <c r="U86" i="26"/>
  <c r="T86" i="26"/>
  <c r="G56" i="2" l="1"/>
  <c r="V21" i="26" s="1"/>
  <c r="X21" i="26" l="1"/>
  <c r="W21" i="26"/>
  <c r="J56" i="2"/>
  <c r="E6" i="66"/>
  <c r="G12" i="47"/>
  <c r="E6" i="39"/>
  <c r="T9" i="26"/>
  <c r="T8" i="26"/>
  <c r="T7" i="26"/>
  <c r="D14" i="68" l="1"/>
  <c r="D9" i="68"/>
  <c r="C14" i="68"/>
  <c r="C9" i="68"/>
  <c r="V17" i="26" l="1"/>
  <c r="W10" i="26" l="1"/>
  <c r="S13" i="26"/>
  <c r="T13" i="26" s="1"/>
  <c r="W17" i="26" l="1"/>
  <c r="S14" i="26"/>
  <c r="T14" i="26" s="1"/>
  <c r="F10" i="55" l="1"/>
  <c r="F17" i="55" s="1"/>
  <c r="F56" i="55" l="1"/>
  <c r="H56" i="55" s="1"/>
  <c r="U61" i="26"/>
  <c r="X61" i="26" s="1"/>
  <c r="D6" i="66"/>
  <c r="F7" i="31"/>
  <c r="Z28" i="26" s="1"/>
  <c r="U72" i="26" l="1"/>
  <c r="X72" i="26" s="1"/>
  <c r="F15" i="46"/>
  <c r="Y70" i="26" s="1"/>
  <c r="Z70" i="26" s="1"/>
  <c r="E11" i="52" l="1"/>
  <c r="C6" i="66"/>
  <c r="D15" i="32"/>
  <c r="V29" i="26" s="1"/>
  <c r="F56" i="2"/>
  <c r="E56" i="2"/>
  <c r="X29" i="26" l="1"/>
  <c r="W29" i="26"/>
  <c r="C20" i="36"/>
  <c r="V38" i="26" s="1"/>
  <c r="W38" i="26" l="1"/>
  <c r="X38" i="26"/>
  <c r="C27" i="48"/>
  <c r="V64" i="26" s="1"/>
  <c r="X64" i="26" s="1"/>
  <c r="E15" i="46" l="1"/>
  <c r="M10" i="27" l="1"/>
  <c r="M17" i="27"/>
  <c r="M16" i="27"/>
  <c r="L16" i="27"/>
  <c r="L11" i="27" l="1"/>
  <c r="M8" i="27"/>
  <c r="M7" i="27"/>
  <c r="E23" i="37" l="1"/>
  <c r="V39" i="26" s="1"/>
  <c r="S12" i="26"/>
  <c r="T12" i="26" s="1"/>
  <c r="D59" i="4" l="1"/>
  <c r="U49" i="26" s="1"/>
  <c r="W39" i="26" l="1"/>
  <c r="D6" i="39"/>
  <c r="U58" i="26" s="1"/>
  <c r="M6" i="27" l="1"/>
  <c r="C15" i="46"/>
  <c r="V70" i="26" s="1"/>
  <c r="X70" i="26" s="1"/>
  <c r="F12" i="47"/>
  <c r="M7" i="42"/>
  <c r="M6" i="41"/>
  <c r="F11" i="52"/>
  <c r="Y51" i="26" s="1"/>
  <c r="F23" i="37"/>
  <c r="E38" i="3"/>
  <c r="D12" i="34"/>
  <c r="C18" i="33"/>
  <c r="V30" i="26" s="1"/>
  <c r="H16" i="19"/>
  <c r="H10" i="19"/>
  <c r="K24" i="12"/>
  <c r="O16" i="27" s="1"/>
  <c r="H17" i="11"/>
  <c r="E18" i="10"/>
  <c r="G23" i="37" l="1"/>
  <c r="U39" i="26"/>
  <c r="X39" i="26" s="1"/>
  <c r="W30" i="26"/>
  <c r="X30" i="26"/>
  <c r="F12" i="34"/>
  <c r="V32" i="26"/>
  <c r="Y75" i="26"/>
  <c r="Y88" i="26" s="1"/>
  <c r="Y91" i="26" s="1"/>
  <c r="Z51" i="26"/>
  <c r="M15" i="27"/>
  <c r="E7" i="31"/>
  <c r="E56" i="55"/>
  <c r="E15" i="55"/>
  <c r="E17" i="55" s="1"/>
  <c r="X32" i="26" l="1"/>
  <c r="W32" i="26"/>
  <c r="Z75" i="26"/>
  <c r="J17" i="27"/>
  <c r="Z88" i="26" l="1"/>
  <c r="M11" i="27"/>
  <c r="L15" i="27" l="1"/>
  <c r="L18" i="27" s="1"/>
  <c r="C12" i="47" l="1"/>
  <c r="S61" i="26"/>
  <c r="U63" i="26"/>
  <c r="L6" i="41"/>
  <c r="L7" i="42"/>
  <c r="C6" i="39"/>
  <c r="V58" i="26" s="1"/>
  <c r="S50" i="26"/>
  <c r="D38" i="3"/>
  <c r="U36" i="26" s="1"/>
  <c r="W58" i="26" l="1"/>
  <c r="X58" i="26"/>
  <c r="D12" i="47"/>
  <c r="AJ69" i="26" s="1"/>
  <c r="S72" i="26"/>
  <c r="S63" i="26"/>
  <c r="E12" i="47"/>
  <c r="AL69" i="26" s="1"/>
  <c r="S21" i="26"/>
  <c r="L74" i="26"/>
  <c r="R7" i="26"/>
  <c r="S86" i="26"/>
  <c r="AK69" i="26" l="1"/>
  <c r="AK75" i="26" s="1"/>
  <c r="AK88" i="26" s="1"/>
  <c r="AK91" i="26" s="1"/>
  <c r="AJ75" i="26"/>
  <c r="AJ88" i="26" s="1"/>
  <c r="AJ91" i="26" s="1"/>
  <c r="AL75" i="26"/>
  <c r="AL88" i="26" s="1"/>
  <c r="AM69" i="26"/>
  <c r="AM75" i="26" s="1"/>
  <c r="AM88" i="26" s="1"/>
  <c r="S64" i="26"/>
  <c r="T64" i="26"/>
  <c r="T75" i="26" s="1"/>
  <c r="T88" i="26" s="1"/>
  <c r="R82" i="26" l="1"/>
  <c r="R73" i="26" l="1"/>
  <c r="R50" i="26"/>
  <c r="R48" i="26"/>
  <c r="R38" i="26"/>
  <c r="R37" i="26"/>
  <c r="R74" i="26"/>
  <c r="R70" i="26"/>
  <c r="R69" i="26"/>
  <c r="R64" i="26"/>
  <c r="R61" i="26"/>
  <c r="K6" i="41"/>
  <c r="R60" i="26" s="1"/>
  <c r="K7" i="42"/>
  <c r="R59" i="26" s="1"/>
  <c r="C11" i="52"/>
  <c r="V51" i="26" s="1"/>
  <c r="W51" i="26" s="1"/>
  <c r="D11" i="52"/>
  <c r="C59" i="4"/>
  <c r="V49" i="26" s="1"/>
  <c r="R41" i="26"/>
  <c r="R39" i="26"/>
  <c r="C38" i="3"/>
  <c r="R34" i="26"/>
  <c r="R32" i="26"/>
  <c r="R30" i="26"/>
  <c r="R29" i="26"/>
  <c r="D7" i="31"/>
  <c r="R21" i="26"/>
  <c r="G16" i="27"/>
  <c r="I10" i="27"/>
  <c r="I7" i="27"/>
  <c r="R36" i="26" l="1"/>
  <c r="V36" i="26"/>
  <c r="R51" i="26"/>
  <c r="U51" i="26"/>
  <c r="X51" i="26" s="1"/>
  <c r="X49" i="26"/>
  <c r="W49" i="26"/>
  <c r="R28" i="26"/>
  <c r="U28" i="26"/>
  <c r="R49" i="26"/>
  <c r="E59" i="4"/>
  <c r="R62" i="26"/>
  <c r="I8" i="27"/>
  <c r="G10" i="27"/>
  <c r="G8" i="27"/>
  <c r="G7" i="27"/>
  <c r="W36" i="26" l="1"/>
  <c r="X36" i="26"/>
  <c r="X28" i="26"/>
  <c r="D8" i="65"/>
  <c r="R86" i="26"/>
  <c r="R14" i="26"/>
  <c r="R13" i="26"/>
  <c r="R12" i="26"/>
  <c r="N73" i="26"/>
  <c r="N70" i="26"/>
  <c r="N69" i="26"/>
  <c r="N64" i="26"/>
  <c r="N63" i="26"/>
  <c r="P61" i="26"/>
  <c r="N61" i="26"/>
  <c r="N60" i="26"/>
  <c r="N59" i="26"/>
  <c r="N51" i="26"/>
  <c r="N49" i="26"/>
  <c r="N39" i="26"/>
  <c r="N37" i="26"/>
  <c r="N36" i="26"/>
  <c r="N34" i="26"/>
  <c r="N32" i="26"/>
  <c r="P30" i="26"/>
  <c r="N30" i="26"/>
  <c r="N29" i="26"/>
  <c r="N28" i="26"/>
  <c r="N27" i="26"/>
  <c r="N26" i="26"/>
  <c r="N21" i="26"/>
  <c r="D14" i="65" l="1"/>
  <c r="P75" i="26"/>
  <c r="R8" i="26"/>
  <c r="N14" i="26"/>
  <c r="O14" i="26" s="1"/>
  <c r="O72" i="26" l="1"/>
  <c r="O69" i="26"/>
  <c r="O58" i="26"/>
  <c r="N75" i="26"/>
  <c r="N13" i="26"/>
  <c r="O13" i="26" s="1"/>
  <c r="N12" i="26"/>
  <c r="O12" i="26" s="1"/>
  <c r="P85" i="26"/>
  <c r="P83" i="26"/>
  <c r="P82" i="26"/>
  <c r="P81" i="26"/>
  <c r="R9" i="26" l="1"/>
  <c r="S10" i="26" l="1"/>
  <c r="T10" i="26" s="1"/>
  <c r="T17" i="26" l="1"/>
  <c r="D56" i="55"/>
  <c r="D17" i="55" l="1"/>
  <c r="F16" i="29" l="1"/>
  <c r="F8" i="29"/>
  <c r="K14" i="12" l="1"/>
  <c r="I16" i="27" l="1"/>
  <c r="J16" i="27" s="1"/>
  <c r="M14" i="12" l="1"/>
  <c r="M16" i="12" s="1"/>
  <c r="L20" i="9" l="1"/>
  <c r="J10" i="27"/>
  <c r="J7" i="27"/>
  <c r="L28" i="9" l="1"/>
  <c r="L38" i="9" s="1"/>
  <c r="N38" i="9" s="1"/>
  <c r="N20" i="9"/>
  <c r="N28" i="9" s="1"/>
  <c r="P86" i="26"/>
  <c r="P14" i="26"/>
  <c r="P13" i="26"/>
  <c r="P12" i="26"/>
  <c r="R6" i="27" l="1"/>
  <c r="R11" i="27" s="1"/>
  <c r="D82" i="7"/>
  <c r="E82" i="7"/>
  <c r="L9" i="26"/>
  <c r="L10" i="26"/>
  <c r="T6" i="27" l="1"/>
  <c r="T11" i="27" s="1"/>
  <c r="G15" i="27"/>
  <c r="G82" i="7"/>
  <c r="O85" i="26"/>
  <c r="N86" i="26"/>
  <c r="G91" i="7" l="1"/>
  <c r="J82" i="7"/>
  <c r="I15" i="27"/>
  <c r="J15" i="27" s="1"/>
  <c r="N15" i="27" l="1"/>
  <c r="I91" i="7"/>
  <c r="J91" i="7"/>
  <c r="L81" i="26"/>
  <c r="O81" i="26" s="1"/>
  <c r="K81" i="26"/>
  <c r="Q15" i="27" l="1"/>
  <c r="P15" i="27"/>
  <c r="M86" i="26"/>
  <c r="L80" i="26"/>
  <c r="O80" i="26" s="1"/>
  <c r="K80" i="26"/>
  <c r="J81" i="26"/>
  <c r="H5" i="12" l="1"/>
  <c r="L82" i="26" l="1"/>
  <c r="K82" i="26"/>
  <c r="K12" i="26"/>
  <c r="M12" i="26" s="1"/>
  <c r="O82" i="26" l="1"/>
  <c r="L86" i="26"/>
  <c r="O86" i="26" s="1"/>
  <c r="M9" i="26"/>
  <c r="N9" i="26"/>
  <c r="O9" i="26" s="1"/>
  <c r="K11" i="27" l="1"/>
  <c r="K86" i="26"/>
  <c r="K63" i="26"/>
  <c r="K51" i="26"/>
  <c r="K49" i="26"/>
  <c r="K41" i="26"/>
  <c r="K39" i="26"/>
  <c r="K32" i="26"/>
  <c r="K30" i="26"/>
  <c r="K29" i="26"/>
  <c r="J80" i="26"/>
  <c r="J86" i="26" s="1"/>
  <c r="J27" i="26" l="1"/>
  <c r="J26" i="26"/>
  <c r="J62" i="26" l="1"/>
  <c r="J59" i="26"/>
  <c r="J48" i="26" l="1"/>
  <c r="K14" i="26"/>
  <c r="M14" i="26" s="1"/>
  <c r="K13" i="26"/>
  <c r="J14" i="26"/>
  <c r="J12" i="26"/>
  <c r="K10" i="26"/>
  <c r="M10" i="26" s="1"/>
  <c r="M13" i="26" l="1"/>
  <c r="M17" i="26" s="1"/>
  <c r="L17" i="26"/>
  <c r="K17" i="26"/>
  <c r="P9" i="26"/>
  <c r="N10" i="26" l="1"/>
  <c r="N17" i="26" l="1"/>
  <c r="O17" i="26" s="1"/>
  <c r="J10" i="26"/>
  <c r="R10" i="26" l="1"/>
  <c r="P10" i="26"/>
  <c r="P17" i="26" s="1"/>
  <c r="P18" i="26" s="1"/>
  <c r="O10" i="26"/>
  <c r="R17" i="26" l="1"/>
  <c r="S17" i="26"/>
  <c r="F15" i="27" l="1"/>
  <c r="K70" i="26"/>
  <c r="K64" i="26"/>
  <c r="K38" i="26"/>
  <c r="R63" i="26" l="1"/>
  <c r="V63" i="26"/>
  <c r="J64" i="26"/>
  <c r="K34" i="26"/>
  <c r="X63" i="26" l="1"/>
  <c r="W63" i="26"/>
  <c r="W75" i="26" s="1"/>
  <c r="W88" i="26" s="1"/>
  <c r="V75" i="26"/>
  <c r="H17" i="27"/>
  <c r="F17" i="27"/>
  <c r="C17" i="27"/>
  <c r="C18" i="27" s="1"/>
  <c r="H16" i="27"/>
  <c r="F16" i="27"/>
  <c r="H15" i="27"/>
  <c r="D15" i="27"/>
  <c r="E15" i="27" s="1"/>
  <c r="E18" i="27" s="1"/>
  <c r="C11" i="27"/>
  <c r="H10" i="27"/>
  <c r="F10" i="27"/>
  <c r="F8" i="27"/>
  <c r="F7" i="27"/>
  <c r="D6" i="27"/>
  <c r="D11" i="27" s="1"/>
  <c r="D18" i="27" l="1"/>
  <c r="F18" i="27" s="1"/>
  <c r="G18" i="27"/>
  <c r="H18" i="27" s="1"/>
  <c r="E17" i="27"/>
  <c r="E6" i="27"/>
  <c r="E11" i="27" s="1"/>
  <c r="F6" i="27"/>
  <c r="F11" i="27" l="1"/>
  <c r="R72" i="26"/>
  <c r="J6" i="41"/>
  <c r="J7" i="42"/>
  <c r="R75" i="26" l="1"/>
  <c r="R88" i="26" s="1"/>
  <c r="F21" i="12"/>
  <c r="F22" i="12"/>
  <c r="F20" i="12"/>
  <c r="E48" i="26"/>
  <c r="E6" i="26"/>
  <c r="J6" i="26" s="1"/>
  <c r="J17" i="26" s="1"/>
  <c r="S75" i="26" l="1"/>
  <c r="K72" i="26"/>
  <c r="M62" i="26"/>
  <c r="K61" i="26"/>
  <c r="G6" i="41"/>
  <c r="F6" i="41"/>
  <c r="E6" i="41"/>
  <c r="S88" i="26" l="1"/>
  <c r="J61" i="26"/>
  <c r="M61" i="26"/>
  <c r="M72" i="26"/>
  <c r="M69" i="26"/>
  <c r="G7" i="42"/>
  <c r="F7" i="42"/>
  <c r="E7" i="42"/>
  <c r="E21" i="26"/>
  <c r="R58" i="26"/>
  <c r="M32" i="26" l="1"/>
  <c r="J32" i="26" l="1"/>
  <c r="E29" i="26" l="1"/>
  <c r="F37" i="30" l="1"/>
  <c r="J21" i="26"/>
  <c r="E34" i="26" l="1"/>
  <c r="U34" i="26"/>
  <c r="K36" i="26"/>
  <c r="K21" i="26"/>
  <c r="X34" i="26" l="1"/>
  <c r="U75" i="26"/>
  <c r="C10" i="19"/>
  <c r="D10" i="19"/>
  <c r="E10" i="19"/>
  <c r="G10" i="19"/>
  <c r="E14" i="19"/>
  <c r="E16" i="19" s="1"/>
  <c r="H6" i="12"/>
  <c r="H7" i="12"/>
  <c r="E9" i="12"/>
  <c r="F9" i="12"/>
  <c r="F11" i="12"/>
  <c r="F12" i="12"/>
  <c r="E14" i="12"/>
  <c r="G14" i="12"/>
  <c r="C16" i="12"/>
  <c r="D16" i="12"/>
  <c r="H20" i="12"/>
  <c r="H21" i="12"/>
  <c r="H22" i="12"/>
  <c r="C24" i="12"/>
  <c r="D24" i="12"/>
  <c r="E24" i="12"/>
  <c r="F24" i="12"/>
  <c r="D5" i="29"/>
  <c r="D6" i="29"/>
  <c r="D12" i="29"/>
  <c r="D15" i="29"/>
  <c r="E11" i="11"/>
  <c r="I15" i="11"/>
  <c r="I17" i="11" s="1"/>
  <c r="C17" i="11"/>
  <c r="D17" i="11"/>
  <c r="E17" i="11"/>
  <c r="D18" i="10"/>
  <c r="G85" i="26"/>
  <c r="H85" i="26" s="1"/>
  <c r="D74" i="26"/>
  <c r="J73" i="26"/>
  <c r="D64" i="26"/>
  <c r="E64" i="26"/>
  <c r="D62" i="26"/>
  <c r="E62" i="26"/>
  <c r="C6" i="41"/>
  <c r="D60" i="26" s="1"/>
  <c r="D6" i="41"/>
  <c r="C7" i="42"/>
  <c r="D59" i="26" s="1"/>
  <c r="D7" i="42"/>
  <c r="E59" i="26" s="1"/>
  <c r="E58" i="26"/>
  <c r="D41" i="26"/>
  <c r="D39" i="26"/>
  <c r="E39" i="26"/>
  <c r="D38" i="26"/>
  <c r="E38" i="26"/>
  <c r="D37" i="26"/>
  <c r="E37" i="26"/>
  <c r="F39" i="30"/>
  <c r="D32" i="26"/>
  <c r="D30" i="26"/>
  <c r="E30" i="26"/>
  <c r="D29" i="26"/>
  <c r="B1" i="26"/>
  <c r="G12" i="26"/>
  <c r="G13" i="26"/>
  <c r="G14" i="26"/>
  <c r="D17" i="26"/>
  <c r="E24" i="26"/>
  <c r="F24" i="26" s="1"/>
  <c r="E25" i="26"/>
  <c r="F25" i="26" s="1"/>
  <c r="G26" i="26"/>
  <c r="G27" i="26"/>
  <c r="E28" i="26"/>
  <c r="G29" i="26"/>
  <c r="G30" i="26"/>
  <c r="F31" i="26"/>
  <c r="H31" i="26"/>
  <c r="F33" i="26"/>
  <c r="H33" i="26"/>
  <c r="D34" i="26"/>
  <c r="F35" i="26"/>
  <c r="H35" i="26"/>
  <c r="G36" i="26"/>
  <c r="F40" i="26"/>
  <c r="H40" i="26"/>
  <c r="E41" i="26"/>
  <c r="F42" i="26"/>
  <c r="H42" i="26"/>
  <c r="F43" i="26"/>
  <c r="H43" i="26"/>
  <c r="F44" i="26"/>
  <c r="H44" i="26"/>
  <c r="F45" i="26"/>
  <c r="H45" i="26"/>
  <c r="F46" i="26"/>
  <c r="H46" i="26"/>
  <c r="F47" i="26"/>
  <c r="H47" i="26"/>
  <c r="D48" i="26"/>
  <c r="D51" i="26"/>
  <c r="F52" i="26"/>
  <c r="H52" i="26"/>
  <c r="F53" i="26"/>
  <c r="H53" i="26"/>
  <c r="F54" i="26"/>
  <c r="H54" i="26"/>
  <c r="F55" i="26"/>
  <c r="H55" i="26"/>
  <c r="F56" i="26"/>
  <c r="H56" i="26"/>
  <c r="F57" i="26"/>
  <c r="H57" i="26"/>
  <c r="D58" i="26"/>
  <c r="G59" i="26"/>
  <c r="E60" i="26"/>
  <c r="D61" i="26"/>
  <c r="G61" i="26"/>
  <c r="G62" i="26"/>
  <c r="D63" i="26"/>
  <c r="G63" i="26"/>
  <c r="I63" i="26"/>
  <c r="I75" i="26" s="1"/>
  <c r="F65" i="26"/>
  <c r="H65" i="26"/>
  <c r="F66" i="26"/>
  <c r="H66" i="26"/>
  <c r="F67" i="26"/>
  <c r="H67" i="26"/>
  <c r="F68" i="26"/>
  <c r="H68" i="26"/>
  <c r="D69" i="26"/>
  <c r="G69" i="26"/>
  <c r="D70" i="26"/>
  <c r="G70" i="26"/>
  <c r="I70" i="26"/>
  <c r="F71" i="26"/>
  <c r="H71" i="26"/>
  <c r="D72" i="26"/>
  <c r="G72" i="26"/>
  <c r="E73" i="26"/>
  <c r="F73" i="26" s="1"/>
  <c r="G73" i="26"/>
  <c r="G74" i="26"/>
  <c r="F80" i="26"/>
  <c r="G80" i="26"/>
  <c r="H80" i="26" s="1"/>
  <c r="F81" i="26"/>
  <c r="H81" i="26"/>
  <c r="D82" i="26"/>
  <c r="F82" i="26" s="1"/>
  <c r="H82" i="26"/>
  <c r="F85" i="26"/>
  <c r="E86" i="26"/>
  <c r="U88" i="26" l="1"/>
  <c r="X75" i="26"/>
  <c r="O18" i="27"/>
  <c r="G14" i="19"/>
  <c r="D86" i="26"/>
  <c r="F30" i="26"/>
  <c r="F86" i="26"/>
  <c r="J72" i="26"/>
  <c r="K74" i="26"/>
  <c r="L75" i="26"/>
  <c r="O75" i="26" s="1"/>
  <c r="E70" i="26"/>
  <c r="F70" i="26" s="1"/>
  <c r="E63" i="26"/>
  <c r="F63" i="26" s="1"/>
  <c r="E61" i="26"/>
  <c r="F61" i="26" s="1"/>
  <c r="K60" i="26"/>
  <c r="J60" i="26"/>
  <c r="E51" i="26"/>
  <c r="F51" i="26" s="1"/>
  <c r="E32" i="26"/>
  <c r="F32" i="26" s="1"/>
  <c r="H30" i="26"/>
  <c r="E16" i="12"/>
  <c r="E69" i="26"/>
  <c r="H69" i="26" s="1"/>
  <c r="K69" i="26"/>
  <c r="J69" i="26"/>
  <c r="E74" i="26"/>
  <c r="H74" i="26" s="1"/>
  <c r="K75" i="26"/>
  <c r="K88" i="26" s="1"/>
  <c r="J74" i="26"/>
  <c r="E49" i="26"/>
  <c r="E36" i="26"/>
  <c r="H36" i="26" s="1"/>
  <c r="E72" i="26"/>
  <c r="F72" i="26" s="1"/>
  <c r="E10" i="26"/>
  <c r="E17" i="26" s="1"/>
  <c r="F58" i="26"/>
  <c r="D16" i="29"/>
  <c r="D8" i="29"/>
  <c r="D36" i="26"/>
  <c r="F37" i="26"/>
  <c r="F48" i="26"/>
  <c r="G24" i="12"/>
  <c r="H24" i="12" s="1"/>
  <c r="H73" i="26"/>
  <c r="H59" i="26"/>
  <c r="F64" i="26"/>
  <c r="F62" i="26"/>
  <c r="F60" i="26"/>
  <c r="D49" i="26"/>
  <c r="H48" i="26"/>
  <c r="F29" i="26"/>
  <c r="D21" i="26"/>
  <c r="F21" i="26" s="1"/>
  <c r="D28" i="26"/>
  <c r="F28" i="26" s="1"/>
  <c r="H62" i="26"/>
  <c r="F41" i="26"/>
  <c r="G9" i="12"/>
  <c r="F59" i="26"/>
  <c r="F39" i="26"/>
  <c r="F38" i="26"/>
  <c r="H29" i="26"/>
  <c r="G86" i="26"/>
  <c r="F14" i="12"/>
  <c r="H12" i="12"/>
  <c r="H11" i="12"/>
  <c r="J14" i="12" l="1"/>
  <c r="L11" i="12"/>
  <c r="L14" i="12" s="1"/>
  <c r="G16" i="19"/>
  <c r="I14" i="19"/>
  <c r="I16" i="19" s="1"/>
  <c r="M18" i="27"/>
  <c r="H63" i="26"/>
  <c r="F74" i="26"/>
  <c r="H72" i="26"/>
  <c r="F69" i="26"/>
  <c r="H61" i="26"/>
  <c r="L88" i="26"/>
  <c r="H70" i="26"/>
  <c r="F36" i="26"/>
  <c r="D75" i="26"/>
  <c r="D88" i="26" s="1"/>
  <c r="F49" i="26"/>
  <c r="G32" i="26"/>
  <c r="H32" i="26" s="1"/>
  <c r="H9" i="12"/>
  <c r="G16" i="12"/>
  <c r="G60" i="26"/>
  <c r="H60" i="26" s="1"/>
  <c r="G58" i="26"/>
  <c r="H58" i="26" s="1"/>
  <c r="G34" i="26"/>
  <c r="H34" i="26" s="1"/>
  <c r="G10" i="26"/>
  <c r="G49" i="26"/>
  <c r="H49" i="26" s="1"/>
  <c r="G64" i="26"/>
  <c r="H64" i="26" s="1"/>
  <c r="G51" i="26"/>
  <c r="H51" i="26" s="1"/>
  <c r="G28" i="26"/>
  <c r="H28" i="26" s="1"/>
  <c r="G21" i="26"/>
  <c r="F34" i="26"/>
  <c r="F75" i="26" s="1"/>
  <c r="F88" i="26" s="1"/>
  <c r="E75" i="26"/>
  <c r="F16" i="12"/>
  <c r="H16" i="12" s="1"/>
  <c r="H14" i="12"/>
  <c r="H86" i="26"/>
  <c r="J16" i="12" l="1"/>
  <c r="G75" i="26"/>
  <c r="G88" i="26" s="1"/>
  <c r="H21" i="26"/>
  <c r="E88" i="26"/>
  <c r="E89" i="26"/>
  <c r="H10" i="26"/>
  <c r="G17" i="26"/>
  <c r="H17" i="26" s="1"/>
  <c r="H88" i="26" l="1"/>
  <c r="I18" i="27" l="1"/>
  <c r="J18" i="27" s="1"/>
  <c r="J37" i="26" l="1"/>
  <c r="G37" i="26"/>
  <c r="H37" i="26" s="1"/>
  <c r="M21" i="26" l="1"/>
  <c r="H5" i="41" l="1"/>
  <c r="I5" i="41" l="1"/>
  <c r="I6" i="41" s="1"/>
  <c r="H6" i="41"/>
  <c r="M27" i="26"/>
  <c r="M60" i="26" l="1"/>
  <c r="G37" i="30"/>
  <c r="J36" i="26"/>
  <c r="M36" i="26"/>
  <c r="M38" i="26" l="1"/>
  <c r="J38" i="26"/>
  <c r="G38" i="26"/>
  <c r="H38" i="26" s="1"/>
  <c r="M51" i="26"/>
  <c r="J51" i="26"/>
  <c r="J34" i="26"/>
  <c r="M34" i="26"/>
  <c r="M39" i="26"/>
  <c r="J39" i="26"/>
  <c r="G39" i="26"/>
  <c r="H39" i="26" s="1"/>
  <c r="M28" i="26"/>
  <c r="J28" i="26"/>
  <c r="M70" i="26"/>
  <c r="J70" i="26"/>
  <c r="M74" i="26"/>
  <c r="M63" i="26"/>
  <c r="J63" i="26"/>
  <c r="M41" i="26"/>
  <c r="G41" i="26"/>
  <c r="H41" i="26" s="1"/>
  <c r="J41" i="26"/>
  <c r="J58" i="26"/>
  <c r="M58" i="26"/>
  <c r="M64" i="26"/>
  <c r="M73" i="26" l="1"/>
  <c r="M30" i="26" l="1"/>
  <c r="J30" i="26"/>
  <c r="M29" i="26"/>
  <c r="J29" i="26"/>
  <c r="H7" i="42"/>
  <c r="I5" i="42"/>
  <c r="I7" i="42" l="1"/>
  <c r="M59" i="26"/>
  <c r="M26" i="26" l="1"/>
  <c r="P88" i="26" l="1"/>
  <c r="M49" i="26"/>
  <c r="M75" i="26" s="1"/>
  <c r="M88" i="26" s="1"/>
  <c r="J49" i="26"/>
  <c r="J75" i="26" s="1"/>
  <c r="J88" i="26" s="1"/>
  <c r="N88" i="26" l="1"/>
  <c r="O88" i="26" s="1"/>
  <c r="G6" i="27" l="1"/>
  <c r="G11" i="27" l="1"/>
  <c r="H11" i="27" s="1"/>
  <c r="H6" i="27"/>
  <c r="I6" i="27"/>
  <c r="I11" i="27" l="1"/>
  <c r="J11" i="27" s="1"/>
  <c r="J6" i="27"/>
  <c r="V86" i="26"/>
  <c r="V88" i="26" l="1"/>
  <c r="X88" i="26" s="1"/>
  <c r="E9" i="10" l="1"/>
  <c r="E7" i="10"/>
  <c r="E8" i="10"/>
  <c r="L6" i="12" l="1"/>
  <c r="L9" i="12" s="1"/>
  <c r="L16" i="12" s="1"/>
  <c r="K9" i="12"/>
  <c r="K16" i="12" s="1"/>
  <c r="E6" i="10" l="1"/>
  <c r="E12" i="10" s="1"/>
  <c r="D12" i="10"/>
  <c r="U10" i="26" l="1"/>
  <c r="X10" i="26" l="1"/>
  <c r="U17" i="26"/>
  <c r="X17" i="26" s="1"/>
  <c r="I10" i="11"/>
  <c r="I11" i="11" s="1"/>
  <c r="H11" i="11"/>
  <c r="L22" i="12" l="1"/>
  <c r="L21" i="12"/>
  <c r="L20" i="12"/>
  <c r="J24" i="12"/>
  <c r="N16" i="27" s="1"/>
  <c r="P16" i="27" l="1"/>
  <c r="P18" i="27" s="1"/>
  <c r="Q16" i="27"/>
  <c r="N18" i="27"/>
  <c r="Q18" i="27" s="1"/>
  <c r="L24" i="12"/>
  <c r="M24" i="12" l="1"/>
  <c r="R16" i="27" s="1"/>
  <c r="R18" i="27" l="1"/>
  <c r="T16" i="27"/>
  <c r="T18" i="27" s="1"/>
  <c r="H36" i="4"/>
  <c r="H32" i="4"/>
  <c r="H29" i="4"/>
  <c r="H27" i="4"/>
  <c r="H26" i="4"/>
  <c r="H22" i="4"/>
  <c r="H47" i="4"/>
  <c r="H46" i="4"/>
  <c r="I9" i="71"/>
  <c r="M48" i="2"/>
  <c r="M45" i="2"/>
  <c r="M42" i="2"/>
  <c r="M26" i="2"/>
  <c r="M22" i="2"/>
  <c r="N22" i="2" s="1"/>
  <c r="M19" i="2"/>
  <c r="N26" i="2" l="1"/>
  <c r="O26" i="2"/>
  <c r="I26" i="4"/>
  <c r="J26" i="4"/>
  <c r="J29" i="4"/>
  <c r="I29" i="4"/>
  <c r="I36" i="4"/>
  <c r="J36" i="4"/>
  <c r="O19" i="2"/>
  <c r="N19" i="2"/>
  <c r="O42" i="2"/>
  <c r="N42" i="2"/>
  <c r="O45" i="2"/>
  <c r="N45" i="2"/>
  <c r="I27" i="4"/>
  <c r="J27" i="4"/>
  <c r="O48" i="2"/>
  <c r="N48" i="2"/>
  <c r="J46" i="4"/>
  <c r="I46" i="4"/>
  <c r="J22" i="4"/>
  <c r="I22" i="4"/>
  <c r="I47" i="4"/>
  <c r="J47" i="4"/>
  <c r="I32" i="4"/>
  <c r="J32" i="4"/>
  <c r="AC82" i="26" l="1"/>
  <c r="AA86" i="26"/>
  <c r="AC86" i="26" s="1"/>
  <c r="AB82" i="26"/>
  <c r="AB86" i="26" s="1"/>
  <c r="H35" i="3" l="1"/>
  <c r="I35" i="3" s="1"/>
  <c r="I11" i="70" l="1"/>
  <c r="I7" i="70"/>
  <c r="G6" i="36"/>
  <c r="I6" i="36" l="1"/>
  <c r="H6" i="36"/>
  <c r="I14" i="46"/>
  <c r="H14" i="46"/>
  <c r="J18" i="37"/>
  <c r="K18" i="37" l="1"/>
  <c r="L18" i="37"/>
  <c r="G15" i="36"/>
  <c r="H15" i="36" l="1"/>
  <c r="I15" i="36"/>
  <c r="I13" i="70" l="1"/>
  <c r="H22" i="3" l="1"/>
  <c r="J22" i="3" l="1"/>
  <c r="I22" i="3"/>
  <c r="H8" i="3"/>
  <c r="I8" i="3" l="1"/>
  <c r="J8" i="3"/>
  <c r="G8" i="36" l="1"/>
  <c r="J31" i="30"/>
  <c r="J21" i="30"/>
  <c r="J18" i="30"/>
  <c r="J15" i="30" l="1"/>
  <c r="H8" i="36"/>
  <c r="I8" i="36"/>
  <c r="L18" i="30"/>
  <c r="K18" i="30"/>
  <c r="L21" i="30"/>
  <c r="K21" i="30"/>
  <c r="L31" i="30"/>
  <c r="K31" i="30"/>
  <c r="G9" i="36"/>
  <c r="I9" i="36" l="1"/>
  <c r="H9" i="36"/>
  <c r="K15" i="30"/>
  <c r="L15" i="30"/>
  <c r="G14" i="33" l="1"/>
  <c r="H14" i="33" s="1"/>
  <c r="J15" i="37" l="1"/>
  <c r="J6" i="37"/>
  <c r="H41" i="4"/>
  <c r="H40" i="4"/>
  <c r="H34" i="4"/>
  <c r="H15" i="4"/>
  <c r="H13" i="4"/>
  <c r="H12" i="4"/>
  <c r="H11" i="4"/>
  <c r="H10" i="4"/>
  <c r="H9" i="4"/>
  <c r="H8" i="4"/>
  <c r="H6" i="4"/>
  <c r="J10" i="4" l="1"/>
  <c r="I10" i="4"/>
  <c r="J15" i="4"/>
  <c r="I15" i="4"/>
  <c r="J40" i="4"/>
  <c r="I40" i="4"/>
  <c r="I6" i="4"/>
  <c r="J6" i="4"/>
  <c r="H30" i="4"/>
  <c r="J41" i="4"/>
  <c r="I41" i="4"/>
  <c r="I11" i="4"/>
  <c r="J11" i="4"/>
  <c r="J8" i="4"/>
  <c r="I8" i="4"/>
  <c r="I12" i="4"/>
  <c r="J12" i="4"/>
  <c r="H33" i="4"/>
  <c r="L6" i="37"/>
  <c r="K6" i="37"/>
  <c r="J9" i="4"/>
  <c r="I9" i="4"/>
  <c r="J13" i="4"/>
  <c r="I13" i="4"/>
  <c r="J34" i="4"/>
  <c r="I34" i="4"/>
  <c r="K15" i="37"/>
  <c r="L15" i="37"/>
  <c r="H42" i="4"/>
  <c r="H25" i="4"/>
  <c r="H43" i="4"/>
  <c r="H37" i="4" l="1"/>
  <c r="J43" i="4"/>
  <c r="I43" i="4"/>
  <c r="J33" i="4"/>
  <c r="I33" i="4"/>
  <c r="J25" i="4"/>
  <c r="I25" i="4"/>
  <c r="H5" i="4"/>
  <c r="J42" i="4"/>
  <c r="I42" i="4"/>
  <c r="J30" i="4"/>
  <c r="I30" i="4"/>
  <c r="J5" i="37" l="1"/>
  <c r="J5" i="4"/>
  <c r="I5" i="4"/>
  <c r="H59" i="4"/>
  <c r="J37" i="4"/>
  <c r="I37" i="4"/>
  <c r="G16" i="36"/>
  <c r="H16" i="36" s="1"/>
  <c r="G12" i="36"/>
  <c r="G6" i="31"/>
  <c r="I12" i="71"/>
  <c r="I10" i="71"/>
  <c r="H6" i="31" l="1"/>
  <c r="I6" i="31"/>
  <c r="H12" i="36"/>
  <c r="I12" i="36"/>
  <c r="H12" i="32"/>
  <c r="L5" i="37"/>
  <c r="K5" i="37"/>
  <c r="K23" i="37" s="1"/>
  <c r="J23" i="37"/>
  <c r="J59" i="4"/>
  <c r="I59" i="4"/>
  <c r="AA49" i="26"/>
  <c r="I7" i="71"/>
  <c r="I23" i="71" s="1"/>
  <c r="G15" i="33" l="1"/>
  <c r="G7" i="36"/>
  <c r="AA27" i="26"/>
  <c r="K23" i="71"/>
  <c r="J23" i="71"/>
  <c r="L23" i="37"/>
  <c r="AA39" i="26"/>
  <c r="I12" i="32"/>
  <c r="I15" i="32" s="1"/>
  <c r="J12" i="32"/>
  <c r="H15" i="32"/>
  <c r="AC49" i="26"/>
  <c r="AB49" i="26"/>
  <c r="G5" i="31" l="1"/>
  <c r="AA29" i="26"/>
  <c r="J15" i="32"/>
  <c r="H7" i="36"/>
  <c r="I7" i="36"/>
  <c r="G20" i="36"/>
  <c r="G18" i="33"/>
  <c r="I15" i="33"/>
  <c r="H15" i="33"/>
  <c r="H18" i="33" s="1"/>
  <c r="AC39" i="26"/>
  <c r="AB39" i="26"/>
  <c r="AC27" i="26"/>
  <c r="AB27" i="26"/>
  <c r="G9" i="46"/>
  <c r="M7" i="2"/>
  <c r="M8" i="2"/>
  <c r="M9" i="2"/>
  <c r="M10" i="2"/>
  <c r="M11" i="2"/>
  <c r="M12" i="2"/>
  <c r="M30" i="2"/>
  <c r="M40" i="2"/>
  <c r="M41" i="2"/>
  <c r="M54" i="2"/>
  <c r="O54" i="2" l="1"/>
  <c r="N54" i="2"/>
  <c r="O41" i="2"/>
  <c r="N41" i="2"/>
  <c r="M23" i="2"/>
  <c r="N11" i="2"/>
  <c r="O11" i="2"/>
  <c r="N7" i="2"/>
  <c r="O7" i="2"/>
  <c r="AA30" i="26"/>
  <c r="I18" i="33"/>
  <c r="N10" i="2"/>
  <c r="O10" i="2"/>
  <c r="I9" i="46"/>
  <c r="H9" i="46"/>
  <c r="AA38" i="26"/>
  <c r="H20" i="36"/>
  <c r="I20" i="36"/>
  <c r="AB29" i="26"/>
  <c r="AC29" i="26"/>
  <c r="O40" i="2"/>
  <c r="N40" i="2"/>
  <c r="M46" i="2"/>
  <c r="M39" i="2"/>
  <c r="O30" i="2"/>
  <c r="N30" i="2"/>
  <c r="M17" i="2"/>
  <c r="O9" i="2"/>
  <c r="N9" i="2"/>
  <c r="H5" i="31"/>
  <c r="I5" i="31"/>
  <c r="G7" i="31"/>
  <c r="M47" i="2"/>
  <c r="M31" i="2"/>
  <c r="M44" i="2"/>
  <c r="M27" i="2"/>
  <c r="N12" i="2"/>
  <c r="O12" i="2"/>
  <c r="N8" i="2"/>
  <c r="O8" i="2"/>
  <c r="M5" i="2"/>
  <c r="O5" i="2" l="1"/>
  <c r="N5" i="2"/>
  <c r="M56" i="2"/>
  <c r="O27" i="2"/>
  <c r="N27" i="2"/>
  <c r="N31" i="2"/>
  <c r="O31" i="2"/>
  <c r="AA28" i="26"/>
  <c r="H7" i="31"/>
  <c r="I7" i="31"/>
  <c r="O17" i="2"/>
  <c r="N17" i="2"/>
  <c r="O39" i="2"/>
  <c r="N39" i="2"/>
  <c r="AB30" i="26"/>
  <c r="AC30" i="26"/>
  <c r="G5" i="46"/>
  <c r="N44" i="2"/>
  <c r="O44" i="2"/>
  <c r="N47" i="2"/>
  <c r="O47" i="2"/>
  <c r="O23" i="2"/>
  <c r="N23" i="2"/>
  <c r="N46" i="2"/>
  <c r="O46" i="2"/>
  <c r="AC38" i="26"/>
  <c r="AB38" i="26"/>
  <c r="M73" i="2" l="1"/>
  <c r="N73" i="2"/>
  <c r="AB28" i="26"/>
  <c r="AC28" i="26"/>
  <c r="O56" i="2"/>
  <c r="N56" i="2"/>
  <c r="AA21" i="26"/>
  <c r="I5" i="46"/>
  <c r="H5" i="46"/>
  <c r="G15" i="46"/>
  <c r="H17" i="48"/>
  <c r="G10" i="52"/>
  <c r="G9" i="52"/>
  <c r="G8" i="52"/>
  <c r="G7" i="52"/>
  <c r="G6" i="52"/>
  <c r="H28" i="3"/>
  <c r="H27" i="3"/>
  <c r="H12" i="3"/>
  <c r="H11" i="3"/>
  <c r="H10" i="3"/>
  <c r="H9" i="3"/>
  <c r="H6" i="3"/>
  <c r="J26" i="30"/>
  <c r="J25" i="30"/>
  <c r="J11" i="30"/>
  <c r="J10" i="30"/>
  <c r="J9" i="30"/>
  <c r="J8" i="30"/>
  <c r="J7" i="30"/>
  <c r="J5" i="30"/>
  <c r="I19" i="70"/>
  <c r="I9" i="70" l="1"/>
  <c r="I18" i="70"/>
  <c r="K7" i="30"/>
  <c r="L7" i="30"/>
  <c r="K11" i="30"/>
  <c r="L11" i="30"/>
  <c r="J9" i="3"/>
  <c r="I9" i="3"/>
  <c r="J27" i="3"/>
  <c r="I27" i="3"/>
  <c r="H8" i="52"/>
  <c r="I8" i="52"/>
  <c r="J7" i="48"/>
  <c r="I7" i="48"/>
  <c r="AA70" i="26"/>
  <c r="H15" i="46"/>
  <c r="I15" i="46"/>
  <c r="K8" i="30"/>
  <c r="L8" i="30"/>
  <c r="K25" i="30"/>
  <c r="L25" i="30"/>
  <c r="J10" i="3"/>
  <c r="I10" i="3"/>
  <c r="I28" i="3"/>
  <c r="J28" i="3"/>
  <c r="H9" i="52"/>
  <c r="I9" i="52"/>
  <c r="J8" i="48"/>
  <c r="I8" i="48"/>
  <c r="I20" i="70"/>
  <c r="K9" i="30"/>
  <c r="L9" i="30"/>
  <c r="L26" i="30"/>
  <c r="K26" i="30"/>
  <c r="J11" i="3"/>
  <c r="I11" i="3"/>
  <c r="H6" i="52"/>
  <c r="I6" i="52"/>
  <c r="H10" i="52"/>
  <c r="I10" i="52"/>
  <c r="I9" i="48"/>
  <c r="J9" i="48"/>
  <c r="I14" i="70"/>
  <c r="I16" i="70"/>
  <c r="K5" i="30"/>
  <c r="L5" i="30"/>
  <c r="L10" i="30"/>
  <c r="K10" i="30"/>
  <c r="J6" i="3"/>
  <c r="I6" i="3"/>
  <c r="I12" i="3"/>
  <c r="J12" i="3"/>
  <c r="I7" i="52"/>
  <c r="H7" i="52"/>
  <c r="I6" i="48"/>
  <c r="J6" i="48"/>
  <c r="I17" i="48"/>
  <c r="J17" i="48"/>
  <c r="AC21" i="26"/>
  <c r="AB21" i="26"/>
  <c r="G5" i="39"/>
  <c r="J6" i="30"/>
  <c r="I5" i="39" l="1"/>
  <c r="H5" i="39"/>
  <c r="H6" i="39" s="1"/>
  <c r="G6" i="39"/>
  <c r="H5" i="48"/>
  <c r="H10" i="34"/>
  <c r="AC70" i="26"/>
  <c r="AB70" i="26"/>
  <c r="G5" i="52"/>
  <c r="H5" i="3"/>
  <c r="L6" i="30"/>
  <c r="K6" i="30"/>
  <c r="I8" i="70"/>
  <c r="I31" i="70" s="1"/>
  <c r="J37" i="30"/>
  <c r="H5" i="52" l="1"/>
  <c r="I5" i="52"/>
  <c r="G11" i="52"/>
  <c r="H12" i="34"/>
  <c r="J10" i="34"/>
  <c r="I10" i="34"/>
  <c r="I12" i="34" s="1"/>
  <c r="I6" i="39"/>
  <c r="AA58" i="26"/>
  <c r="AA34" i="26"/>
  <c r="K37" i="30"/>
  <c r="L37" i="30"/>
  <c r="AA26" i="26"/>
  <c r="K31" i="70"/>
  <c r="J31" i="70"/>
  <c r="I5" i="3"/>
  <c r="J5" i="3"/>
  <c r="H38" i="3"/>
  <c r="J5" i="48"/>
  <c r="I5" i="48"/>
  <c r="H27" i="48"/>
  <c r="I27" i="48" l="1"/>
  <c r="J27" i="48"/>
  <c r="AA64" i="26"/>
  <c r="AB26" i="26"/>
  <c r="AC26" i="26"/>
  <c r="AB58" i="26"/>
  <c r="AC58" i="26"/>
  <c r="AA32" i="26"/>
  <c r="J12" i="34"/>
  <c r="AA51" i="26"/>
  <c r="I11" i="52"/>
  <c r="H11" i="52"/>
  <c r="AA36" i="26"/>
  <c r="J38" i="3"/>
  <c r="I38" i="3"/>
  <c r="AC34" i="26"/>
  <c r="AB34" i="26"/>
  <c r="AA75" i="26" l="1"/>
  <c r="AA88" i="26" s="1"/>
  <c r="AC88" i="26" s="1"/>
  <c r="AC64" i="26"/>
  <c r="AB64" i="26"/>
  <c r="AC51" i="26"/>
  <c r="AB51" i="26"/>
  <c r="AC36" i="26"/>
  <c r="AB36" i="26"/>
  <c r="AB32" i="26"/>
  <c r="AC32" i="26"/>
  <c r="AC75" i="26" l="1"/>
  <c r="AB75" i="26"/>
  <c r="AB88" i="26" s="1"/>
  <c r="K57" i="59"/>
  <c r="K59" i="59" l="1"/>
  <c r="AA10" i="26" s="1"/>
  <c r="N57" i="59"/>
  <c r="M57" i="59"/>
  <c r="K69" i="59" l="1"/>
  <c r="N59" i="59"/>
  <c r="M59" i="59"/>
  <c r="M69" i="59" s="1"/>
  <c r="N69" i="59" l="1"/>
  <c r="AC10" i="26"/>
  <c r="AB10" i="26"/>
  <c r="AB17" i="26" s="1"/>
  <c r="AA17" i="26"/>
  <c r="AC17" i="26" s="1"/>
  <c r="H12" i="9" l="1"/>
  <c r="I12" i="9" s="1"/>
  <c r="J12" i="9" l="1"/>
  <c r="K12" i="9"/>
  <c r="H21" i="9"/>
  <c r="H25" i="9"/>
  <c r="I25" i="9" s="1"/>
  <c r="H18" i="9"/>
  <c r="I18" i="9" s="1"/>
  <c r="H9" i="9"/>
  <c r="I9" i="9" s="1"/>
  <c r="K18" i="9" l="1"/>
  <c r="J18" i="9"/>
  <c r="K25" i="9"/>
  <c r="J25" i="9"/>
  <c r="H23" i="9"/>
  <c r="J9" i="9"/>
  <c r="K9" i="9"/>
  <c r="H20" i="9" l="1"/>
  <c r="I20" i="9" s="1"/>
  <c r="H6" i="9"/>
  <c r="I6" i="9" l="1"/>
  <c r="H28" i="9"/>
  <c r="O6" i="27" s="1"/>
  <c r="J20" i="9"/>
  <c r="K20" i="9"/>
  <c r="J6" i="9" l="1"/>
  <c r="K6" i="9"/>
  <c r="I28" i="9"/>
  <c r="I38" i="9" s="1"/>
  <c r="H38" i="9"/>
  <c r="J28" i="9"/>
  <c r="K28" i="9"/>
  <c r="K38" i="9" l="1"/>
  <c r="J38" i="9"/>
  <c r="P6" i="27"/>
  <c r="P11" i="27" s="1"/>
  <c r="Q6" i="27"/>
  <c r="O11" i="27"/>
  <c r="Q11" i="27" s="1"/>
  <c r="P17" i="36" l="1"/>
  <c r="Q17" i="36" s="1"/>
  <c r="AA51" i="2" l="1"/>
  <c r="AB51" i="2" s="1"/>
  <c r="AA42" i="2"/>
  <c r="AB42" i="2" s="1"/>
  <c r="AA26" i="2"/>
  <c r="AB26" i="2" s="1"/>
  <c r="AA25" i="2"/>
  <c r="AB25" i="2" s="1"/>
  <c r="AA13" i="2"/>
  <c r="AB13" i="2" s="1"/>
  <c r="T32" i="3" l="1"/>
  <c r="U32" i="3" s="1"/>
  <c r="T29" i="3"/>
  <c r="U29" i="3" s="1"/>
  <c r="T18" i="3"/>
  <c r="U18" i="3" s="1"/>
  <c r="T16" i="3"/>
  <c r="U16" i="3" s="1"/>
  <c r="T35" i="3" l="1"/>
  <c r="U35" i="3" s="1"/>
  <c r="T31" i="3"/>
  <c r="U31" i="3" s="1"/>
  <c r="T30" i="3"/>
  <c r="U30" i="3" s="1"/>
  <c r="T21" i="3"/>
  <c r="U21" i="3" s="1"/>
  <c r="V17" i="30" l="1"/>
  <c r="W17" i="30" s="1"/>
  <c r="S12" i="70"/>
  <c r="S7" i="70"/>
  <c r="P20" i="48"/>
  <c r="Q20" i="48" s="1"/>
  <c r="V20" i="30" l="1"/>
  <c r="W20" i="30" s="1"/>
  <c r="V34" i="30" l="1"/>
  <c r="W34" i="30" s="1"/>
  <c r="S13" i="70" l="1"/>
  <c r="T22" i="3" l="1"/>
  <c r="U22" i="3" s="1"/>
  <c r="T19" i="3"/>
  <c r="U19" i="3" s="1"/>
  <c r="U8" i="3"/>
  <c r="V21" i="30" l="1"/>
  <c r="W21" i="30" s="1"/>
  <c r="V18" i="30"/>
  <c r="W18" i="30" s="1"/>
  <c r="V15" i="30"/>
  <c r="W15" i="30" s="1"/>
  <c r="Q6" i="31" l="1"/>
  <c r="R6" i="31" s="1"/>
  <c r="P7" i="36" l="1"/>
  <c r="Q7" i="36" l="1"/>
  <c r="Q20" i="36" s="1"/>
  <c r="P20" i="36"/>
  <c r="Q5" i="31"/>
  <c r="R5" i="31" s="1"/>
  <c r="Q7" i="31" l="1"/>
  <c r="R7" i="31" s="1"/>
  <c r="AB8" i="2"/>
  <c r="AA23" i="2"/>
  <c r="AB23" i="2" s="1"/>
  <c r="AA30" i="2"/>
  <c r="AB30" i="2" s="1"/>
  <c r="AA31" i="2"/>
  <c r="AB31" i="2" s="1"/>
  <c r="AA34" i="2"/>
  <c r="AB34" i="2" s="1"/>
  <c r="AA39" i="2"/>
  <c r="AB39" i="2" s="1"/>
  <c r="AA40" i="2"/>
  <c r="AB40" i="2" s="1"/>
  <c r="AA44" i="2"/>
  <c r="AB44" i="2" s="1"/>
  <c r="AA46" i="2"/>
  <c r="AB46" i="2" s="1"/>
  <c r="P9" i="48" l="1"/>
  <c r="Q9" i="48" s="1"/>
  <c r="P7" i="48"/>
  <c r="Q7" i="48" s="1"/>
  <c r="P6" i="48"/>
  <c r="Q6" i="48" s="1"/>
  <c r="T10" i="3"/>
  <c r="U10" i="3" s="1"/>
  <c r="T9" i="3"/>
  <c r="U9" i="3" s="1"/>
  <c r="V11" i="30"/>
  <c r="W11" i="30" s="1"/>
  <c r="V9" i="30"/>
  <c r="W9" i="30" s="1"/>
  <c r="V8" i="30"/>
  <c r="W8" i="30" s="1"/>
  <c r="V7" i="30"/>
  <c r="W7" i="30" s="1"/>
  <c r="V5" i="30"/>
  <c r="W5" i="30" s="1"/>
  <c r="S19" i="70"/>
  <c r="S18" i="70"/>
  <c r="S16" i="70"/>
  <c r="S14" i="70"/>
  <c r="P5" i="48" l="1"/>
  <c r="S8" i="70"/>
  <c r="S31" i="70" s="1"/>
  <c r="T31" i="70" s="1"/>
  <c r="T5" i="3"/>
  <c r="U5" i="3" s="1"/>
  <c r="V6" i="30"/>
  <c r="W6" i="30" s="1"/>
  <c r="Q5" i="48" l="1"/>
  <c r="T12" i="3"/>
  <c r="U12" i="3" s="1"/>
  <c r="T6" i="3" l="1"/>
  <c r="U6" i="3" s="1"/>
  <c r="T10" i="71" l="1"/>
  <c r="T12" i="71"/>
  <c r="T7" i="71" l="1"/>
  <c r="T23" i="71" s="1"/>
  <c r="U23" i="71" s="1"/>
  <c r="AA27" i="2" l="1"/>
  <c r="AB27" i="2" s="1"/>
  <c r="AA19" i="2"/>
  <c r="AB19" i="2" s="1"/>
  <c r="AB12" i="2"/>
  <c r="AB10" i="2"/>
  <c r="AB9" i="2"/>
  <c r="AA17" i="2"/>
  <c r="AB17" i="2" s="1"/>
  <c r="AB7" i="2"/>
  <c r="AB5" i="2" l="1"/>
  <c r="AB11" i="2" l="1"/>
  <c r="AA56" i="2" l="1"/>
  <c r="AB56" i="2" s="1"/>
  <c r="P8" i="48" l="1"/>
  <c r="V10" i="30"/>
  <c r="W10" i="30" s="1"/>
  <c r="Q8" i="48" l="1"/>
  <c r="Q27" i="48" s="1"/>
  <c r="P27" i="48"/>
  <c r="T11" i="3"/>
  <c r="U11" i="3" s="1"/>
  <c r="V37" i="30"/>
  <c r="W37" i="30" s="1"/>
  <c r="U38" i="3" l="1"/>
  <c r="T38" i="3"/>
  <c r="Y25" i="59" l="1"/>
  <c r="Z25" i="59" l="1"/>
  <c r="AA25" i="59"/>
  <c r="Y7" i="59"/>
  <c r="Z7" i="59" l="1"/>
  <c r="AA7" i="59"/>
  <c r="Z9" i="59"/>
  <c r="Y59" i="59"/>
  <c r="Z59" i="59" l="1"/>
  <c r="Z69" i="59" s="1"/>
  <c r="Y69" i="59"/>
  <c r="AA69" i="59" s="1"/>
  <c r="AA59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</author>
  </authors>
  <commentList>
    <comment ref="O51" authorId="0" shapeId="0" xr:uid="{120D4DC5-1D76-4A72-872B-68E74EFDFED5}">
      <text>
        <r>
          <rPr>
            <b/>
            <sz val="9"/>
            <color indexed="81"/>
            <rFont val="Tahoma"/>
            <family val="2"/>
          </rPr>
          <t>Tamara:</t>
        </r>
        <r>
          <rPr>
            <sz val="9"/>
            <color indexed="81"/>
            <rFont val="Tahoma"/>
            <family val="2"/>
          </rPr>
          <t xml:space="preserve">
INCREASED PER MR. MILLER - DUE TO ADDITIONAL LANDFILL CONTRACTS</t>
        </r>
      </text>
    </comment>
    <comment ref="O57" authorId="0" shapeId="0" xr:uid="{04D00093-8299-4E42-99F3-E7A738FE951E}">
      <text>
        <r>
          <rPr>
            <b/>
            <sz val="9"/>
            <color indexed="81"/>
            <rFont val="Tahoma"/>
            <family val="2"/>
          </rPr>
          <t>Tamara:</t>
        </r>
        <r>
          <rPr>
            <sz val="9"/>
            <color indexed="81"/>
            <rFont val="Tahoma"/>
            <family val="2"/>
          </rPr>
          <t xml:space="preserve">
INCREASED BY 75K WITH ANTICIPATED FROM THE HOTEL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</author>
    <author>Admin</author>
  </authors>
  <commentList>
    <comment ref="Q7" authorId="0" shapeId="0" xr:uid="{7C03D560-161F-4282-999F-DDFB33901F12}">
      <text>
        <r>
          <rPr>
            <b/>
            <sz val="9"/>
            <color indexed="81"/>
            <rFont val="Tahoma"/>
            <family val="2"/>
          </rPr>
          <t>Tamara:</t>
        </r>
        <r>
          <rPr>
            <sz val="9"/>
            <color indexed="81"/>
            <rFont val="Tahoma"/>
            <family val="2"/>
          </rPr>
          <t xml:space="preserve">
INCLUDED D. BROOKS
</t>
        </r>
      </text>
    </comment>
    <comment ref="R19" authorId="1" shapeId="0" xr:uid="{7A38047D-5826-4931-9698-6D88CF8BE0EC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blackbaud annual and training, and billups</t>
        </r>
      </text>
    </comment>
    <comment ref="R23" authorId="1" shapeId="0" xr:uid="{11FD2AC2-720D-4197-8CAA-D8BFE3CDEC88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acca, acaa and acpaa</t>
        </r>
      </text>
    </comment>
    <comment ref="R25" authorId="1" shapeId="0" xr:uid="{0B3FC587-9710-4AE8-8317-8488281B9C01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blackbaud consultant fees, training, belinda stewart - to be reimbursed from the grant</t>
        </r>
      </text>
    </comment>
    <comment ref="C26" authorId="1" shapeId="0" xr:uid="{D006D3A3-C352-4D91-977E-285926FF0809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line for park workers; should be added to line item 113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N5" authorId="0" shapeId="0" xr:uid="{4551E18B-FA42-46E6-92F4-971EE2C8DE0D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OWE 45K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</author>
  </authors>
  <commentList>
    <comment ref="K5" authorId="0" shapeId="0" xr:uid="{026737CF-C842-4E3A-B423-0A593FEF7DF6}">
      <text>
        <r>
          <rPr>
            <b/>
            <sz val="9"/>
            <color indexed="81"/>
            <rFont val="Tahoma"/>
            <family val="2"/>
          </rPr>
          <t>Tamara:</t>
        </r>
        <r>
          <rPr>
            <sz val="9"/>
            <color indexed="81"/>
            <rFont val="Tahoma"/>
            <family val="2"/>
          </rPr>
          <t xml:space="preserve">
REDUCED FULL TIME HEALTH CARE DIRECTOR TO PART TIME WITH THIS SALARY - NO BENEFITS FOR PT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16" authorId="0" shapeId="0" xr:uid="{E7D6AA0F-1CC9-4E15-B9ED-7C762356362A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payables
</t>
        </r>
      </text>
    </comment>
  </commentList>
</comments>
</file>

<file path=xl/sharedStrings.xml><?xml version="1.0" encoding="utf-8"?>
<sst xmlns="http://schemas.openxmlformats.org/spreadsheetml/2006/main" count="2571" uniqueCount="1159">
  <si>
    <t>Requested</t>
  </si>
  <si>
    <t xml:space="preserve"> Supernumerary Tax Collector </t>
  </si>
  <si>
    <t xml:space="preserve"> County Beer Tax </t>
  </si>
  <si>
    <t xml:space="preserve"> County Wine Tax </t>
  </si>
  <si>
    <t xml:space="preserve"> Business Privilege Licenses </t>
  </si>
  <si>
    <t xml:space="preserve"> Pistol Permits </t>
  </si>
  <si>
    <t xml:space="preserve"> Manufactured Home Registration </t>
  </si>
  <si>
    <t xml:space="preserve"> ABC Board Licenses </t>
  </si>
  <si>
    <t xml:space="preserve"> ABC Tax </t>
  </si>
  <si>
    <t xml:space="preserve"> State Beer Tax </t>
  </si>
  <si>
    <t xml:space="preserve"> State Sales Tax </t>
  </si>
  <si>
    <t xml:space="preserve"> Business Privilege/Shares </t>
  </si>
  <si>
    <t xml:space="preserve"> Worthless Checks - Prosecuted </t>
  </si>
  <si>
    <t xml:space="preserve"> Board of Registrars </t>
  </si>
  <si>
    <t xml:space="preserve"> Misc. Federal Grant Proceeds </t>
  </si>
  <si>
    <t xml:space="preserve"> Law Enforcement Grants </t>
  </si>
  <si>
    <t xml:space="preserve"> Fed Pmts in Lieu of Taxes </t>
  </si>
  <si>
    <t xml:space="preserve"> Judge of Probate Fees and Comm </t>
  </si>
  <si>
    <t xml:space="preserve"> Revenue Commissions Fees </t>
  </si>
  <si>
    <t xml:space="preserve"> Miscellaneous Revenues </t>
  </si>
  <si>
    <t xml:space="preserve"> Interest Revenue </t>
  </si>
  <si>
    <t>Other Sources</t>
  </si>
  <si>
    <t>41110-001</t>
  </si>
  <si>
    <t xml:space="preserve"> Ad Valorem Taxes</t>
  </si>
  <si>
    <t>41230-014</t>
  </si>
  <si>
    <t>41270-020</t>
  </si>
  <si>
    <t>43100-710</t>
  </si>
  <si>
    <t>43300-720</t>
  </si>
  <si>
    <t>43800-710</t>
  </si>
  <si>
    <t>44112-710</t>
  </si>
  <si>
    <t>44113-023</t>
  </si>
  <si>
    <t>44120-023</t>
  </si>
  <si>
    <t>44130-023</t>
  </si>
  <si>
    <t>44140-850</t>
  </si>
  <si>
    <t>44150-023</t>
  </si>
  <si>
    <t>44111-023</t>
  </si>
  <si>
    <t>44230-810</t>
  </si>
  <si>
    <t>44240-810</t>
  </si>
  <si>
    <t>44280-810</t>
  </si>
  <si>
    <t>44283-710</t>
  </si>
  <si>
    <t>44720-820</t>
  </si>
  <si>
    <t>44800-023</t>
  </si>
  <si>
    <t>45210-710</t>
  </si>
  <si>
    <t>45235-710</t>
  </si>
  <si>
    <t>45820-720</t>
  </si>
  <si>
    <t>47100-025</t>
  </si>
  <si>
    <t>47300-710</t>
  </si>
  <si>
    <t xml:space="preserve"> Sale of Equip/Scrap (Gen Govt)</t>
  </si>
  <si>
    <t xml:space="preserve"> ABC Store Profits (Gen Uses)</t>
  </si>
  <si>
    <t>44701-820</t>
  </si>
  <si>
    <t>Total Other Sources</t>
  </si>
  <si>
    <t>Total Revenue and Other Financing Sources</t>
  </si>
  <si>
    <t>Total Revenue</t>
  </si>
  <si>
    <t>111</t>
  </si>
  <si>
    <t>113</t>
  </si>
  <si>
    <t>116</t>
  </si>
  <si>
    <t>121</t>
  </si>
  <si>
    <t>122</t>
  </si>
  <si>
    <t>123</t>
  </si>
  <si>
    <t>124</t>
  </si>
  <si>
    <t>171</t>
  </si>
  <si>
    <t>211</t>
  </si>
  <si>
    <t>219</t>
  </si>
  <si>
    <t>233</t>
  </si>
  <si>
    <t>235</t>
  </si>
  <si>
    <t>250</t>
  </si>
  <si>
    <t>251</t>
  </si>
  <si>
    <t>252</t>
  </si>
  <si>
    <t>253</t>
  </si>
  <si>
    <t>262</t>
  </si>
  <si>
    <t>264</t>
  </si>
  <si>
    <t>265</t>
  </si>
  <si>
    <t>269</t>
  </si>
  <si>
    <t>273</t>
  </si>
  <si>
    <t>499</t>
  </si>
  <si>
    <t>Totals</t>
  </si>
  <si>
    <t>112</t>
  </si>
  <si>
    <t>119</t>
  </si>
  <si>
    <t>160</t>
  </si>
  <si>
    <t>212</t>
  </si>
  <si>
    <t>234</t>
  </si>
  <si>
    <t>407</t>
  </si>
  <si>
    <t>161</t>
  </si>
  <si>
    <t>203</t>
  </si>
  <si>
    <t>214</t>
  </si>
  <si>
    <t>236</t>
  </si>
  <si>
    <t>242</t>
  </si>
  <si>
    <t>215</t>
  </si>
  <si>
    <t>216</t>
  </si>
  <si>
    <t>231</t>
  </si>
  <si>
    <t>245</t>
  </si>
  <si>
    <t>158</t>
  </si>
  <si>
    <t>Dues</t>
  </si>
  <si>
    <t>229</t>
  </si>
  <si>
    <t>FY2005 Actual</t>
  </si>
  <si>
    <t>115</t>
  </si>
  <si>
    <t>FY2006 Actual</t>
  </si>
  <si>
    <t>Tires and Tubes</t>
  </si>
  <si>
    <t>Telephone</t>
  </si>
  <si>
    <t>Officials Salaries</t>
  </si>
  <si>
    <t>Official's Expense Allowance</t>
  </si>
  <si>
    <t>Other Salaries and Wages</t>
  </si>
  <si>
    <t>Overtime Pay</t>
  </si>
  <si>
    <t>Retirement</t>
  </si>
  <si>
    <t>Health Insurance</t>
  </si>
  <si>
    <t>Life Insurance</t>
  </si>
  <si>
    <t>Social Security</t>
  </si>
  <si>
    <t>Office Supplies and Minor Offi</t>
  </si>
  <si>
    <t>Other Miscellaneous Supplies</t>
  </si>
  <si>
    <t>Copying Machine Rental</t>
  </si>
  <si>
    <t>Other Rental</t>
  </si>
  <si>
    <t>Internet Service</t>
  </si>
  <si>
    <t>Communications</t>
  </si>
  <si>
    <t>Postage</t>
  </si>
  <si>
    <t>Advertising</t>
  </si>
  <si>
    <t>Lodging and Meals</t>
  </si>
  <si>
    <t>Meeting and Conference Fees</t>
  </si>
  <si>
    <t>Other Travel Expenses</t>
  </si>
  <si>
    <t>Surety Bonds</t>
  </si>
  <si>
    <t>Legal Fees</t>
  </si>
  <si>
    <t>Furniture/Equipment $500-4999</t>
  </si>
  <si>
    <t>R&amp;M-Office Equipment</t>
  </si>
  <si>
    <t>R&amp;M-Data Processing Equipment</t>
  </si>
  <si>
    <t>470</t>
  </si>
  <si>
    <t>Revenue Commissioner (001-51600)</t>
  </si>
  <si>
    <t>Supernumerary Salaries</t>
  </si>
  <si>
    <t>Printing and Bookbinding</t>
  </si>
  <si>
    <t>Wrecker/Towing Service</t>
  </si>
  <si>
    <t>Uniforms, Clothing and Footwea</t>
  </si>
  <si>
    <t>Fuels and Lubricants</t>
  </si>
  <si>
    <t>Small Tools and Minor Equipmen</t>
  </si>
  <si>
    <t>R&amp;M-Communication Equipment</t>
  </si>
  <si>
    <t>Electricity</t>
  </si>
  <si>
    <t>Natural Gas</t>
  </si>
  <si>
    <t>Water and Sewage</t>
  </si>
  <si>
    <t>Law Enforcement Training</t>
  </si>
  <si>
    <t>Principal Debt Payment</t>
  </si>
  <si>
    <t>Interest on Debt Payment</t>
  </si>
  <si>
    <t>Temporary &amp; Part-Time Salaries</t>
  </si>
  <si>
    <t>Vehicle License Plates</t>
  </si>
  <si>
    <t>R&amp; M-Motor Vehicle</t>
  </si>
  <si>
    <t>600</t>
  </si>
  <si>
    <t>R&amp;M-Building and Improvements</t>
  </si>
  <si>
    <t>258</t>
  </si>
  <si>
    <t>238</t>
  </si>
  <si>
    <t>R&amp;M Contractual(R&amp;B&amp; Software)</t>
  </si>
  <si>
    <t>154</t>
  </si>
  <si>
    <t>170</t>
  </si>
  <si>
    <t>150</t>
  </si>
  <si>
    <t>213</t>
  </si>
  <si>
    <t>225</t>
  </si>
  <si>
    <t>232</t>
  </si>
  <si>
    <t>263</t>
  </si>
  <si>
    <t>200</t>
  </si>
  <si>
    <t>202</t>
  </si>
  <si>
    <t>Training/Educational Services</t>
  </si>
  <si>
    <t>Road Signs &amp; Other Road Markin</t>
  </si>
  <si>
    <t>Construction Equipment Rental</t>
  </si>
  <si>
    <t>R&amp;M-Construction Equipment</t>
  </si>
  <si>
    <t>R&amp;M-Motor Vehicles</t>
  </si>
  <si>
    <t>Air Fare</t>
  </si>
  <si>
    <t>Right of Way Acquisition</t>
  </si>
  <si>
    <t>Other Miscellaneous Expenses</t>
  </si>
  <si>
    <t>Motor Vehicles</t>
  </si>
  <si>
    <t>Construction Equipment</t>
  </si>
  <si>
    <t>Direct Purchase Price of Const</t>
  </si>
  <si>
    <t>199</t>
  </si>
  <si>
    <t>Misc. Services Provided by Others</t>
  </si>
  <si>
    <t>181</t>
  </si>
  <si>
    <t>Contract IT Services</t>
  </si>
  <si>
    <t>R&amp;M-Misc. Other</t>
  </si>
  <si>
    <t>406</t>
  </si>
  <si>
    <t xml:space="preserve">Professional Services </t>
  </si>
  <si>
    <t>Streets &amp; Roads</t>
  </si>
  <si>
    <t>Surveying supplies &amp; Pesticides</t>
  </si>
  <si>
    <t>61110</t>
  </si>
  <si>
    <t>61123</t>
  </si>
  <si>
    <t>61125</t>
  </si>
  <si>
    <t>Gas Tax Fund (111)</t>
  </si>
  <si>
    <t>7 Cent Gas Tax</t>
  </si>
  <si>
    <t>State Cost Sharing - Engineer</t>
  </si>
  <si>
    <t>State Cost Sharing-Hwy/Rd Proj</t>
  </si>
  <si>
    <t>Revenue from Other Agencies</t>
  </si>
  <si>
    <t>Miscellaneous Revenues</t>
  </si>
  <si>
    <t>Interest Revenue</t>
  </si>
  <si>
    <t>Sale of Equipment /Scrap</t>
  </si>
  <si>
    <t>61135</t>
  </si>
  <si>
    <t>44190-830</t>
  </si>
  <si>
    <t>44221-830</t>
  </si>
  <si>
    <t>44222-*30</t>
  </si>
  <si>
    <t>44360-830</t>
  </si>
  <si>
    <t>47250-000</t>
  </si>
  <si>
    <t>47300-730</t>
  </si>
  <si>
    <t>*if cost sharing is capital outlay use 9 if not use 8</t>
  </si>
  <si>
    <t>Total Revenue and Other Sources</t>
  </si>
  <si>
    <t>Bridges</t>
  </si>
  <si>
    <t>Ad Valorem Taxes</t>
  </si>
  <si>
    <t>Road and Bridge Fund (112)</t>
  </si>
  <si>
    <t>Driver's License and Permits</t>
  </si>
  <si>
    <t>RRR Gas Tax Fund (117)</t>
  </si>
  <si>
    <t>4 Cent Gas Tax</t>
  </si>
  <si>
    <t>44180-830</t>
  </si>
  <si>
    <t>44191-830</t>
  </si>
  <si>
    <t>47330-710</t>
  </si>
  <si>
    <t>125</t>
  </si>
  <si>
    <t>274</t>
  </si>
  <si>
    <t>550</t>
  </si>
  <si>
    <t>Other Uses</t>
  </si>
  <si>
    <t>Total Expenditures</t>
  </si>
  <si>
    <t>51300</t>
  </si>
  <si>
    <t>51310</t>
  </si>
  <si>
    <t>45286-710</t>
  </si>
  <si>
    <t>41123-002</t>
  </si>
  <si>
    <t>Revenue</t>
  </si>
  <si>
    <t>001</t>
  </si>
  <si>
    <t>These are the only changes I have noted other then Capital outlay in the regular</t>
  </si>
  <si>
    <t>expenditures.  150 is a local use code that highway uses.  I added 181 to separate out</t>
  </si>
  <si>
    <t xml:space="preserve">things like Wilson price.  Legal has it's own account.  498 changed to 470.  </t>
  </si>
  <si>
    <t>238 is odd because Reappraisal needs software maint in that code.  I either</t>
  </si>
  <si>
    <t xml:space="preserve">assign all software maint to that code or set up a local use code that would keep </t>
  </si>
  <si>
    <t>it separate everywhere else.</t>
  </si>
  <si>
    <t>It looks like we can use up to 29 accounts to separate debt payments.  For instance</t>
  </si>
  <si>
    <t>I could use 601 for macks, 602 for Motorgraders and 603 for sheriff autos.  I could</t>
  </si>
  <si>
    <t>also do the same thing for the related interest.  Or it could all go into 600 and 630.</t>
  </si>
  <si>
    <t>58100</t>
  </si>
  <si>
    <t>Parks and Recreation</t>
  </si>
  <si>
    <t>57200</t>
  </si>
  <si>
    <t>Libraries</t>
  </si>
  <si>
    <t>57100</t>
  </si>
  <si>
    <t>Family Sunshine Center</t>
  </si>
  <si>
    <t>56903</t>
  </si>
  <si>
    <t>Family Resource Center</t>
  </si>
  <si>
    <t>56902</t>
  </si>
  <si>
    <t>People Who Care</t>
  </si>
  <si>
    <t>56901</t>
  </si>
  <si>
    <t>Department of Human Resources</t>
  </si>
  <si>
    <t>56600</t>
  </si>
  <si>
    <t>Indigent Services</t>
  </si>
  <si>
    <t>56300</t>
  </si>
  <si>
    <t>Mental Health</t>
  </si>
  <si>
    <t>55200</t>
  </si>
  <si>
    <t>Health Department</t>
  </si>
  <si>
    <t>55100</t>
  </si>
  <si>
    <t>52900</t>
  </si>
  <si>
    <t>Search and Rescue</t>
  </si>
  <si>
    <t>52800</t>
  </si>
  <si>
    <t>Fire Departments</t>
  </si>
  <si>
    <t>52700</t>
  </si>
  <si>
    <t>Juvenile Probation</t>
  </si>
  <si>
    <t>52600</t>
  </si>
  <si>
    <t>Coroner</t>
  </si>
  <si>
    <t>52400</t>
  </si>
  <si>
    <t>EMA Grants</t>
  </si>
  <si>
    <t>52301</t>
  </si>
  <si>
    <t>Emergency Management</t>
  </si>
  <si>
    <t>52300</t>
  </si>
  <si>
    <t>Courthouse Security</t>
  </si>
  <si>
    <t>52100</t>
  </si>
  <si>
    <t>Domestic Violence</t>
  </si>
  <si>
    <t>52001</t>
  </si>
  <si>
    <t>Task Force</t>
  </si>
  <si>
    <t>52000</t>
  </si>
  <si>
    <t>License Inspector</t>
  </si>
  <si>
    <t>51980</t>
  </si>
  <si>
    <t>Soil and Water Conservation</t>
  </si>
  <si>
    <t>51966</t>
  </si>
  <si>
    <t>Central Alabama Planning Agency</t>
  </si>
  <si>
    <t>51965</t>
  </si>
  <si>
    <t>County Buildings</t>
  </si>
  <si>
    <t>51941</t>
  </si>
  <si>
    <t>51940</t>
  </si>
  <si>
    <t>Board of Equalization</t>
  </si>
  <si>
    <t>51930</t>
  </si>
  <si>
    <t>Board of Registrars</t>
  </si>
  <si>
    <t>51920</t>
  </si>
  <si>
    <t>Elections</t>
  </si>
  <si>
    <t>51910</t>
  </si>
  <si>
    <t>Revenue Commissioner</t>
  </si>
  <si>
    <t>51600</t>
  </si>
  <si>
    <t>Tag Office</t>
  </si>
  <si>
    <t>Probate Office</t>
  </si>
  <si>
    <t>Court Reporters</t>
  </si>
  <si>
    <t>51280</t>
  </si>
  <si>
    <t>51260</t>
  </si>
  <si>
    <t>Judicial Complex</t>
  </si>
  <si>
    <t>51240</t>
  </si>
  <si>
    <t>51220</t>
  </si>
  <si>
    <t>Economic Development Authority</t>
  </si>
  <si>
    <t>51102</t>
  </si>
  <si>
    <t>County Administration</t>
  </si>
  <si>
    <t>51101</t>
  </si>
  <si>
    <t>Commission</t>
  </si>
  <si>
    <t>51100</t>
  </si>
  <si>
    <t>Professional Services</t>
  </si>
  <si>
    <t>560</t>
  </si>
  <si>
    <t>561</t>
  </si>
  <si>
    <t>571</t>
  </si>
  <si>
    <t>573</t>
  </si>
  <si>
    <t>In this case the funds for 112-53100 are transferred from 112-51100 pending approval of projects by the commissioners.</t>
  </si>
  <si>
    <t>Separate Division of Road and bridge based on the expenditure function.</t>
  </si>
  <si>
    <t>182</t>
  </si>
  <si>
    <t>County Commission (001-51100)</t>
  </si>
  <si>
    <t>244</t>
  </si>
  <si>
    <t>246</t>
  </si>
  <si>
    <t>240</t>
  </si>
  <si>
    <t>FY2007 Actual</t>
  </si>
  <si>
    <t>Difference</t>
  </si>
  <si>
    <t>126</t>
  </si>
  <si>
    <t>Unemployment Insurance</t>
  </si>
  <si>
    <t>153</t>
  </si>
  <si>
    <t>Pest Control Services</t>
  </si>
  <si>
    <t>Workmen's Compensation</t>
  </si>
  <si>
    <t>Contract Services</t>
  </si>
  <si>
    <t>Cleaning &amp; Janitorial Supplies</t>
  </si>
  <si>
    <t>220</t>
  </si>
  <si>
    <t>Repairs &amp; Maintenance-Bldg</t>
  </si>
  <si>
    <t>Utilities</t>
  </si>
  <si>
    <t>271</t>
  </si>
  <si>
    <t>Building Insurance</t>
  </si>
  <si>
    <t>272</t>
  </si>
  <si>
    <t>Motor Vehicle Insurance</t>
  </si>
  <si>
    <t>General Liability Insurance</t>
  </si>
  <si>
    <t>660</t>
  </si>
  <si>
    <t>Fiscal Agent/Trustee/Fees on GL LT Debt</t>
  </si>
  <si>
    <t>Repairs &amp; Maintenance-Vehicle</t>
  </si>
  <si>
    <t>Mileage for Use of Personal Vehicle</t>
  </si>
  <si>
    <t>167</t>
  </si>
  <si>
    <t>Fire Fighting Services</t>
  </si>
  <si>
    <t>Small Tools &amp; Minor Equipment</t>
  </si>
  <si>
    <t>255</t>
  </si>
  <si>
    <t>Cell Phone Service</t>
  </si>
  <si>
    <t>41140-020</t>
  </si>
  <si>
    <t>County Forest Protection Tax</t>
  </si>
  <si>
    <t xml:space="preserve">Refunds </t>
  </si>
  <si>
    <t>Sales of Maps &amp; Publications</t>
  </si>
  <si>
    <t>47352-730</t>
  </si>
  <si>
    <t>Sale of Gravel</t>
  </si>
  <si>
    <t>61122</t>
  </si>
  <si>
    <t>Social Security - Fica Taxes</t>
  </si>
  <si>
    <t>Unemployment Compensation</t>
  </si>
  <si>
    <t>156</t>
  </si>
  <si>
    <t>Med. &amp; Dental Serv (Incl. Drug Testing)</t>
  </si>
  <si>
    <t>168</t>
  </si>
  <si>
    <t>Photo Processing</t>
  </si>
  <si>
    <t>Org. Membership Fees &amp; Dues</t>
  </si>
  <si>
    <t>Gas Tax Highway Department (111-53700)</t>
  </si>
  <si>
    <t>207</t>
  </si>
  <si>
    <t>208</t>
  </si>
  <si>
    <t>Groundskeeping Supplies (weed killer)</t>
  </si>
  <si>
    <t>R&amp;M-Communications Equipment</t>
  </si>
  <si>
    <t>Surety Bond</t>
  </si>
  <si>
    <t>Buildings - Insurance</t>
  </si>
  <si>
    <t>165</t>
  </si>
  <si>
    <t>Engineering &amp; Architectural Services</t>
  </si>
  <si>
    <t>Road Building Materials and Supplies</t>
  </si>
  <si>
    <t>Other Sources:</t>
  </si>
  <si>
    <t>Total Revenues:</t>
  </si>
  <si>
    <t>Total Other Sources:</t>
  </si>
  <si>
    <t>Equipment Rental</t>
  </si>
  <si>
    <t>Cleaning and Janitorial Supplies</t>
  </si>
  <si>
    <t>Mileage for Use of Personal Vehicles</t>
  </si>
  <si>
    <t>2 Cent Gas Tax (118)</t>
  </si>
  <si>
    <t>4xxxxx</t>
  </si>
  <si>
    <t>2 Cent Inspection Fee</t>
  </si>
  <si>
    <t>MV Additional Amount</t>
  </si>
  <si>
    <t>Interest</t>
  </si>
  <si>
    <t>Total Revenues</t>
  </si>
  <si>
    <t>Other Uses(Transfer to RRR)</t>
  </si>
  <si>
    <t>Total Expenses</t>
  </si>
  <si>
    <t>Total Other Uses</t>
  </si>
  <si>
    <t>Total Expenses &amp; Other Uses</t>
  </si>
  <si>
    <t>Operating Transfer from 2 cent</t>
  </si>
  <si>
    <t>Operating Transfer from 5 cent</t>
  </si>
  <si>
    <t>Total Revenues/Other Sources</t>
  </si>
  <si>
    <t>Other Uses:</t>
  </si>
  <si>
    <t>Operating Transfer In from General</t>
  </si>
  <si>
    <t>Operating Transfer in from Pub Hwy</t>
  </si>
  <si>
    <t>Total Revenue/Other Sources</t>
  </si>
  <si>
    <t>Expenditures</t>
  </si>
  <si>
    <t>Building Repair</t>
  </si>
  <si>
    <t>Miscellaneous Other Current Exp</t>
  </si>
  <si>
    <t>Probate Office (001-51300)</t>
  </si>
  <si>
    <t>110</t>
  </si>
  <si>
    <t>Coroner Fees</t>
  </si>
  <si>
    <t>Training &amp; Educational Services</t>
  </si>
  <si>
    <t>R&amp; M Data Processing Equip</t>
  </si>
  <si>
    <t>Room/Meals</t>
  </si>
  <si>
    <t>Meeting &amp; Conference Fees</t>
  </si>
  <si>
    <t>Photo Processing &amp; Films</t>
  </si>
  <si>
    <t>176</t>
  </si>
  <si>
    <t>Medical &amp; Dental Services for Inmates</t>
  </si>
  <si>
    <t>Firefighting Services</t>
  </si>
  <si>
    <t>206</t>
  </si>
  <si>
    <t>Safety Supplies</t>
  </si>
  <si>
    <t>402</t>
  </si>
  <si>
    <t>403</t>
  </si>
  <si>
    <t>Relocation of Prisoners (Insane Care)</t>
  </si>
  <si>
    <t>Capital Equipment</t>
  </si>
  <si>
    <t>Line items that need to be amended</t>
  </si>
  <si>
    <t>Court Reporters (001-51210)</t>
  </si>
  <si>
    <t>TOTALS</t>
  </si>
  <si>
    <t>District Judge (001-51212)</t>
  </si>
  <si>
    <t>Pest Control</t>
  </si>
  <si>
    <t>Cleaning Supplies</t>
  </si>
  <si>
    <t>Circuit Clerk (001-51220)</t>
  </si>
  <si>
    <t>District Attorney (001-51260)</t>
  </si>
  <si>
    <t>Elections (001-51910)</t>
  </si>
  <si>
    <t>Preparation of Voter's List</t>
  </si>
  <si>
    <t>Election Workers</t>
  </si>
  <si>
    <t>Office Supplies</t>
  </si>
  <si>
    <t>Miscellaneous Supplies</t>
  </si>
  <si>
    <t>Repair Voting Machines</t>
  </si>
  <si>
    <t xml:space="preserve">Postage </t>
  </si>
  <si>
    <t>Absentee Voting</t>
  </si>
  <si>
    <t>Misc. Other Expenditures</t>
  </si>
  <si>
    <t>TOTAL</t>
  </si>
  <si>
    <t>Board of Registrars (001-51920)</t>
  </si>
  <si>
    <t>Salaries</t>
  </si>
  <si>
    <t>FICA</t>
  </si>
  <si>
    <t>Association Dues</t>
  </si>
  <si>
    <t>Advertising - Purge List</t>
  </si>
  <si>
    <t>Mileage</t>
  </si>
  <si>
    <t>Contract Service</t>
  </si>
  <si>
    <t>*</t>
  </si>
  <si>
    <t>Health Dept.  (001-55100)</t>
  </si>
  <si>
    <t>Appropriation</t>
  </si>
  <si>
    <t>Vital Statistics</t>
  </si>
  <si>
    <t>Mental Health Services  (001-55200)</t>
  </si>
  <si>
    <t>Indigent Services  (001-56300)</t>
  </si>
  <si>
    <t>Fire Protection</t>
  </si>
  <si>
    <t>Indigent Medical Expense</t>
  </si>
  <si>
    <t>177</t>
  </si>
  <si>
    <t>Burial of Indigents</t>
  </si>
  <si>
    <t>**</t>
  </si>
  <si>
    <t>Culture &amp; Recreation  (001-57000)</t>
  </si>
  <si>
    <t>Perry Co. Park &amp; Recreation</t>
  </si>
  <si>
    <t>A-Arts &amp; Humanities</t>
  </si>
  <si>
    <t>C-Lincoln Museum</t>
  </si>
  <si>
    <t>East Perry Assoc.</t>
  </si>
  <si>
    <t>Library  (001-57100)</t>
  </si>
  <si>
    <t>Appropriation - Marion</t>
  </si>
  <si>
    <t>Appropriation - Uniontown</t>
  </si>
  <si>
    <t>Education  (001-58100)</t>
  </si>
  <si>
    <t>Amended budget by reallocating line item 499 ($3k), in total, and portion of line item 122  to line items 113 &amp; 124</t>
  </si>
  <si>
    <t>Intergovernmental Services  (001-59200)</t>
  </si>
  <si>
    <t>Courthouse Annex II</t>
  </si>
  <si>
    <t>Courthouse/Annex I</t>
  </si>
  <si>
    <t>51210</t>
  </si>
  <si>
    <t>51212</t>
  </si>
  <si>
    <t>51601</t>
  </si>
  <si>
    <t>Revenue Commissioner -Citation Officer</t>
  </si>
  <si>
    <t>Ambulance Services</t>
  </si>
  <si>
    <t>55450</t>
  </si>
  <si>
    <t>Veterinary Services</t>
  </si>
  <si>
    <t>56100</t>
  </si>
  <si>
    <t>Youth Services</t>
  </si>
  <si>
    <t>56200</t>
  </si>
  <si>
    <t>57000</t>
  </si>
  <si>
    <t>Culture &amp; Recreation</t>
  </si>
  <si>
    <t>59200</t>
  </si>
  <si>
    <t>Intergovernmental Services</t>
  </si>
  <si>
    <t>Education Services (incl. Board of Ed)</t>
  </si>
  <si>
    <t>Transfer (Gasoline III)</t>
  </si>
  <si>
    <t>Transfer (EMA)</t>
  </si>
  <si>
    <t>62121</t>
  </si>
  <si>
    <t>62160</t>
  </si>
  <si>
    <t>62150</t>
  </si>
  <si>
    <t>62140</t>
  </si>
  <si>
    <t>Total Other Uses:</t>
  </si>
  <si>
    <t>Total Operating Expenditures &amp; Uses:</t>
  </si>
  <si>
    <t>62110</t>
  </si>
  <si>
    <t>Transfer out to General Fund 001</t>
  </si>
  <si>
    <t>Transfer out to Gasoline III</t>
  </si>
  <si>
    <t>Total - Other Uses</t>
  </si>
  <si>
    <t>Total - Revenues</t>
  </si>
  <si>
    <t>51945</t>
  </si>
  <si>
    <t>Other notes:</t>
  </si>
  <si>
    <t xml:space="preserve">* Need to amend to add an add'l $6,900 </t>
  </si>
  <si>
    <t xml:space="preserve"> - Elected official salaries increase</t>
  </si>
  <si>
    <t xml:space="preserve"> + Elected official salaries w/o increase</t>
  </si>
  <si>
    <t xml:space="preserve"> = Budget w/o elected official increase</t>
  </si>
  <si>
    <t>*Reimbursed to General; therefore net expense is $0.00</t>
  </si>
  <si>
    <t>Courthouse Security (001-52950)</t>
  </si>
  <si>
    <t xml:space="preserve">Life Insurance </t>
  </si>
  <si>
    <t>Transfer from General</t>
  </si>
  <si>
    <t>Civil Defense (152)</t>
  </si>
  <si>
    <t>EMA Director/EMA Asst. Director</t>
  </si>
  <si>
    <t>Computer/Web Services</t>
  </si>
  <si>
    <t>Room &amp; Meals</t>
  </si>
  <si>
    <t>Solid Waste ( 511 )</t>
  </si>
  <si>
    <t>Transfer-In (Debt Reduction)</t>
  </si>
  <si>
    <t>Receipts (Billings)</t>
  </si>
  <si>
    <t>Contract Hauling</t>
  </si>
  <si>
    <t>Well Testing</t>
  </si>
  <si>
    <t>FY 2007 - 2008                       Budget</t>
  </si>
  <si>
    <t>FY Projected                          2008-2009                             Budget</t>
  </si>
  <si>
    <t>Natural Resource Development Specialist (58201)</t>
  </si>
  <si>
    <t>58201</t>
  </si>
  <si>
    <t>7 CENTS</t>
  </si>
  <si>
    <t>Transfer  (Public Highway)</t>
  </si>
  <si>
    <t>Transfer (5 cents Gasoline Tax)</t>
  </si>
  <si>
    <t>Transfer (General)</t>
  </si>
  <si>
    <t>Expense reduction (RRR-2)</t>
  </si>
  <si>
    <t>40000</t>
  </si>
  <si>
    <t>61150</t>
  </si>
  <si>
    <t>Transfer from (Road &amp; Bridge)</t>
  </si>
  <si>
    <t>Transfer from (Capital Improvement)</t>
  </si>
  <si>
    <t>Transfer from (Debt Reduction)</t>
  </si>
  <si>
    <t>TOTAL REVENUE AND OTHER SOURCES</t>
  </si>
  <si>
    <t>Beginning Fund Balance (General, Money Market)</t>
  </si>
  <si>
    <t>163</t>
  </si>
  <si>
    <t>Data Processing &amp; Computer IT Services</t>
  </si>
  <si>
    <t>173</t>
  </si>
  <si>
    <t>Management Consulting Fees</t>
  </si>
  <si>
    <t>Misc Other Expenditures</t>
  </si>
  <si>
    <t>Misc Other Supplies</t>
  </si>
  <si>
    <t>Misc.  Other Expenditures</t>
  </si>
  <si>
    <t>Office Supplies and Minor Office</t>
  </si>
  <si>
    <t>GENERAL FUND SUMMARY</t>
  </si>
  <si>
    <t>Beginning Fund Balance</t>
  </si>
  <si>
    <t>Sheriff's Department (includes Jail)</t>
  </si>
  <si>
    <t>REVENUES &amp; OTHER SOURCES:</t>
  </si>
  <si>
    <t xml:space="preserve">Salaries </t>
  </si>
  <si>
    <t xml:space="preserve">Health Insurance </t>
  </si>
  <si>
    <t>County Forestry Protection Tax</t>
  </si>
  <si>
    <t>41210-005</t>
  </si>
  <si>
    <t>County General Sales Tax</t>
  </si>
  <si>
    <t>41215-006</t>
  </si>
  <si>
    <t>County Special Sales Tax</t>
  </si>
  <si>
    <t>41220-009</t>
  </si>
  <si>
    <t>County  Gasoline Tax</t>
  </si>
  <si>
    <t>41240-016</t>
  </si>
  <si>
    <t>County Tobacco Tax</t>
  </si>
  <si>
    <t>41310-020</t>
  </si>
  <si>
    <t xml:space="preserve"> Mortgage &amp; Deed Filing Taxes </t>
  </si>
  <si>
    <t>41330-020</t>
  </si>
  <si>
    <t>Mineral Documentary Tax</t>
  </si>
  <si>
    <t>43801-710</t>
  </si>
  <si>
    <t>Manufactured Home Moving Permit</t>
  </si>
  <si>
    <t>Fin. Inst. Excise Tax</t>
  </si>
  <si>
    <t>44310-850</t>
  </si>
  <si>
    <t>44910 -000</t>
  </si>
  <si>
    <t>45100-710</t>
  </si>
  <si>
    <t xml:space="preserve"> Court Fees of the Circuit Court</t>
  </si>
  <si>
    <t>45101-710</t>
  </si>
  <si>
    <t>Jail Fund</t>
  </si>
  <si>
    <t>45200-710</t>
  </si>
  <si>
    <t>Fees and Commission of Public Officials</t>
  </si>
  <si>
    <t>45201-710</t>
  </si>
  <si>
    <t>Fees from Insane Commitments</t>
  </si>
  <si>
    <t>45260-720</t>
  </si>
  <si>
    <t>DA/Solicitor Fees</t>
  </si>
  <si>
    <t>MV Late Registration Fee</t>
  </si>
  <si>
    <t>45290-710</t>
  </si>
  <si>
    <t>Issuance Fee Mfg Home (Tax Penalties)</t>
  </si>
  <si>
    <t>47110-025</t>
  </si>
  <si>
    <t>Investment Income</t>
  </si>
  <si>
    <t>GENERAL FUND REVENUES</t>
  </si>
  <si>
    <t>4xxxx</t>
  </si>
  <si>
    <t>4XXXX</t>
  </si>
  <si>
    <t>FY2007 - 2008 Budget</t>
  </si>
  <si>
    <t>REVENUES:</t>
  </si>
  <si>
    <t>OTHER USES:</t>
  </si>
  <si>
    <t>Advalorem Taxes</t>
  </si>
  <si>
    <t>FY2007-2008 Budget</t>
  </si>
  <si>
    <t>Revenues:</t>
  </si>
  <si>
    <t>Expenditures:</t>
  </si>
  <si>
    <t>Revenues/Other Sources:</t>
  </si>
  <si>
    <t>Expenses:</t>
  </si>
  <si>
    <t>45900-710</t>
  </si>
  <si>
    <t>Tag Fees (Misc. Charge for Services)</t>
  </si>
  <si>
    <t>Expenses (57200):</t>
  </si>
  <si>
    <t>Sheriff's / Jail Department (001-52100)</t>
  </si>
  <si>
    <t>Revenue Commission Salaries</t>
  </si>
  <si>
    <t>State Cost Sharing (Refunds)</t>
  </si>
  <si>
    <t>% of Budget Expended</t>
  </si>
  <si>
    <t>Auditing and Accounting Fees</t>
  </si>
  <si>
    <t>Main Courthouse &amp; Annex I *</t>
  </si>
  <si>
    <t>H&amp;H Bldg - Annex II *</t>
  </si>
  <si>
    <t>Equipment Furniture $500-$4,999</t>
  </si>
  <si>
    <t>Motor Vehicle (Lease Payment)</t>
  </si>
  <si>
    <t>Medical &amp; Dental Services (Cty Employees)</t>
  </si>
  <si>
    <t>TOTAL REVENUES</t>
  </si>
  <si>
    <t>Other Financing Sources:</t>
  </si>
  <si>
    <t>TOTAL OTHER FINANCING SOURCES</t>
  </si>
  <si>
    <t>TOTAL REVENUE &amp; OTHER FINANCING SOURCES</t>
  </si>
  <si>
    <t>TOTAL EXPENSES</t>
  </si>
  <si>
    <t>45600-740</t>
  </si>
  <si>
    <t>Non-Enterprise Public Service Fees</t>
  </si>
  <si>
    <t>47900-000</t>
  </si>
  <si>
    <t>Adverstising</t>
  </si>
  <si>
    <t>Med &amp; Den Serv-Cty Employees (incl. Drug Testing)</t>
  </si>
  <si>
    <t>Overtime</t>
  </si>
  <si>
    <t>52950</t>
  </si>
  <si>
    <t>Misc. (Rentals)</t>
  </si>
  <si>
    <t>Data Processing Services (IT Services)</t>
  </si>
  <si>
    <t>Other Uses (Warrants Payable)</t>
  </si>
  <si>
    <t>45600-000</t>
  </si>
  <si>
    <t>Non-enterprise Public Service Fees</t>
  </si>
  <si>
    <t>Actual Revenue      QTR End 06/30/2009</t>
  </si>
  <si>
    <t>% Revenue Received  QTR Ending JUNE 2009</t>
  </si>
  <si>
    <t>549</t>
  </si>
  <si>
    <t>Misc. Equipment &amp; Furniture &gt; $5,000</t>
  </si>
  <si>
    <t>Misc. Equipment &amp; Furniture &lt; $5,000</t>
  </si>
  <si>
    <t>43800</t>
  </si>
  <si>
    <t>45210</t>
  </si>
  <si>
    <t>Mobile Home Collections</t>
  </si>
  <si>
    <t>Probate Fees &amp; Commission</t>
  </si>
  <si>
    <t>47900</t>
  </si>
  <si>
    <t>Miscelleanous Income</t>
  </si>
  <si>
    <t>41210</t>
  </si>
  <si>
    <t>Sales Tax</t>
  </si>
  <si>
    <t>44221</t>
  </si>
  <si>
    <t>Salary Refund</t>
  </si>
  <si>
    <t>Garbage Can Fees</t>
  </si>
  <si>
    <t>Computer Services</t>
  </si>
  <si>
    <t>REQUESTED</t>
  </si>
  <si>
    <t>APPROVED</t>
  </si>
  <si>
    <t>BUDGET WORKSHEET</t>
  </si>
  <si>
    <t>Equipment &lt; $5,000</t>
  </si>
  <si>
    <t>DEBT REDUCTION (FUND (050)</t>
  </si>
  <si>
    <t>Contract  Services</t>
  </si>
  <si>
    <t>44800-002</t>
  </si>
  <si>
    <t>Payment in Lieu</t>
  </si>
  <si>
    <t>**Expense to be reallocated among other departments at the end of fiscal year, based on square footage</t>
  </si>
  <si>
    <t>Total Operating Expenditures General Fund  ♠</t>
  </si>
  <si>
    <r>
      <t>♠</t>
    </r>
    <r>
      <rPr>
        <sz val="11"/>
        <color indexed="8"/>
        <rFont val="Times New Roman"/>
        <family val="1"/>
      </rPr>
      <t xml:space="preserve"> Total budget number include amendments</t>
    </r>
  </si>
  <si>
    <r>
      <t>**</t>
    </r>
    <r>
      <rPr>
        <sz val="11"/>
        <color indexed="8"/>
        <rFont val="Times New Roman"/>
        <family val="1"/>
      </rPr>
      <t>Expense to be reallocated among other departments at the end of fiscal year, based on square footage</t>
    </r>
  </si>
  <si>
    <t>Misc. Equipment &lt; $5,000</t>
  </si>
  <si>
    <t>Misc. Supplies (Garbage Cans)</t>
  </si>
  <si>
    <t>DESCRIPTION</t>
  </si>
  <si>
    <t>ACCT.</t>
  </si>
  <si>
    <t>BUDGET WORK COPY</t>
  </si>
  <si>
    <t>ACTUAL YTD THRU JULY 2009-2010</t>
  </si>
  <si>
    <t>ESTIMATED YTD EXPENSES 2009-2010</t>
  </si>
  <si>
    <t xml:space="preserve">Other Travel Expenses </t>
  </si>
  <si>
    <t>Travel - Incidentals</t>
  </si>
  <si>
    <t>Miscellaneous  Other Expenditures</t>
  </si>
  <si>
    <t>Drug Testing</t>
  </si>
  <si>
    <t>Equipment &gt; $5,000</t>
  </si>
  <si>
    <t>FY 2010-2011 Budget</t>
  </si>
  <si>
    <t>44150-000</t>
  </si>
  <si>
    <t>Privledge License</t>
  </si>
  <si>
    <t>FY  2010-2011                             Budget</t>
  </si>
  <si>
    <t>44300-820</t>
  </si>
  <si>
    <t>Misc. State Grant Proceeds (RC&amp;D)</t>
  </si>
  <si>
    <t xml:space="preserve"> </t>
  </si>
  <si>
    <t>Building Repairs</t>
  </si>
  <si>
    <t>ACCT NO.</t>
  </si>
  <si>
    <t>Communication Equipment</t>
  </si>
  <si>
    <t>Telecommunications Equipment</t>
  </si>
  <si>
    <t>* State sets this salary</t>
  </si>
  <si>
    <t>Travel-Incidentals</t>
  </si>
  <si>
    <t>Travel Incidentals</t>
  </si>
  <si>
    <t>Vehicle Tags</t>
  </si>
  <si>
    <t>Drugs &amp; Medical Supplies *</t>
  </si>
  <si>
    <t>Administrative Fees</t>
  </si>
  <si>
    <t>Federal Grants</t>
  </si>
  <si>
    <t>Recoveries from Insurance Claims</t>
  </si>
  <si>
    <t>% Revenue Received</t>
  </si>
  <si>
    <t>41119-002</t>
  </si>
  <si>
    <t>41118-002</t>
  </si>
  <si>
    <t>Housing of Non-County Prisoners</t>
  </si>
  <si>
    <t>47905-000</t>
  </si>
  <si>
    <t>Recoveries on Insurance Claims</t>
  </si>
  <si>
    <t>FY   2011-2012 PROPOSED BUDGET REVENUES</t>
  </si>
  <si>
    <t>% Budget Expended</t>
  </si>
  <si>
    <t>Salary/Wages</t>
  </si>
  <si>
    <t>Fica Tax</t>
  </si>
  <si>
    <t>W/O Salary Increase</t>
  </si>
  <si>
    <t>% Revenue Received  QTR SEPTEMBER 2011</t>
  </si>
  <si>
    <t>% Budget Expended Sept 2011</t>
  </si>
  <si>
    <t xml:space="preserve">% Revenue Received  </t>
  </si>
  <si>
    <t>Adult Day Center-Utown</t>
  </si>
  <si>
    <t xml:space="preserve"> Expenses/Other Uses:</t>
  </si>
  <si>
    <t xml:space="preserve">FY 2011 - 2012 </t>
  </si>
  <si>
    <t>Actual Revenues  Sept 2011</t>
  </si>
  <si>
    <t>Actual EXPENDITURES Ending Sept 2011</t>
  </si>
  <si>
    <t>% Expended @ 9/30/2011</t>
  </si>
  <si>
    <t>Airfare</t>
  </si>
  <si>
    <t>Registration Fees</t>
  </si>
  <si>
    <t>Travel - Incidental Expense</t>
  </si>
  <si>
    <t>Direct Support for Education</t>
  </si>
  <si>
    <t>FY   2011-2012 APPROVED BUDGET REVENUES</t>
  </si>
  <si>
    <t>Reserved for Local Use-Employee Benefits</t>
  </si>
  <si>
    <t>FY                           2011-2012                             Budget</t>
  </si>
  <si>
    <t>Travel - Mileage</t>
  </si>
  <si>
    <t xml:space="preserve"> FY 2011-2012                             Budget</t>
  </si>
  <si>
    <t>FY                      2011-2012                             Budget</t>
  </si>
  <si>
    <t>BUDGETED EXPENDITURES</t>
  </si>
  <si>
    <t>% YTD BUDGET EXPENDED -MARCH 2012</t>
  </si>
  <si>
    <t>DEPT HEAD PROPOSED BUDGET 2012-2013</t>
  </si>
  <si>
    <t>41250-000</t>
  </si>
  <si>
    <t>Lodging Tax</t>
  </si>
  <si>
    <t>Advertisement</t>
  </si>
  <si>
    <t xml:space="preserve">Gasoline  Summary </t>
  </si>
  <si>
    <t>Estimated Revenues &amp; Other Sources @9/30/2012</t>
  </si>
  <si>
    <t>ESTIMATED EXPENSES &amp; OTHER USES @9/30//12</t>
  </si>
  <si>
    <t>Estimated  Revenues &amp; Other Sources @9/30/2012</t>
  </si>
  <si>
    <t>$ BUDGET EXPENDED YTD AUGUST 2012</t>
  </si>
  <si>
    <t>% BUDGET EXPENDED YTD AUGUST 2012</t>
  </si>
  <si>
    <t>62124</t>
  </si>
  <si>
    <t>Transfer to 5 Cent Gas Tax</t>
  </si>
  <si>
    <t>2012 - 2013</t>
  </si>
  <si>
    <t>Fuel &amp; Lubricants</t>
  </si>
  <si>
    <t>Misc Other Expenses</t>
  </si>
  <si>
    <t>44300/700</t>
  </si>
  <si>
    <t>Refund from State/Federal</t>
  </si>
  <si>
    <t>Actual Revenues YTD Ending AUGUST 2012</t>
  </si>
  <si>
    <t>PROPOSED 2012-2013 BUDGET RECOMMENDED</t>
  </si>
  <si>
    <t>% Revenue Received YTD AUGUST 2012</t>
  </si>
  <si>
    <t>Perry Co E-911</t>
  </si>
  <si>
    <t>47100/44XXX</t>
  </si>
  <si>
    <t>Interest and Revenue</t>
  </si>
  <si>
    <t>Other Uses (Transfer to RRR)</t>
  </si>
  <si>
    <t>ACTUAL REVENUE RECEIVED YTD AUGUST 2012</t>
  </si>
  <si>
    <t>% of Budgeted Revenue Received thru August 2012</t>
  </si>
  <si>
    <t>ACTUAL EXPENSES YTD THRU AUGUST 2012</t>
  </si>
  <si>
    <t>Estimated Total % Revenues &amp; Other Sources</t>
  </si>
  <si>
    <t>EXPENSES &amp; OTHER USES:</t>
  </si>
  <si>
    <t>E-911 (PERRY CO EMERGENCY COMM)</t>
  </si>
  <si>
    <t>PERRY COUNTY EMERGENCY COMMUNICATIONS</t>
  </si>
  <si>
    <t>Other -</t>
  </si>
  <si>
    <t>TOTAL 2012-2013 BUDGET W/ PROPOSED AMENDMENTS</t>
  </si>
  <si>
    <t>BUDGET-APPROVAL - NOW PENDING</t>
  </si>
  <si>
    <t>Estimated % Expenditures &amp; Uses</t>
  </si>
  <si>
    <t>Estimated Expenses &amp; Other Uses @9/30/2012</t>
  </si>
  <si>
    <t>Road &amp; Bridge</t>
  </si>
  <si>
    <t>Solid Waste</t>
  </si>
  <si>
    <t>TOTAL 2012-2013 BUDGET W/ AMENDMENTS</t>
  </si>
  <si>
    <t>Operating  Lease Bldg Land</t>
  </si>
  <si>
    <t>Assets less that &gt;$5000</t>
  </si>
  <si>
    <t>Drama Workshop Grant</t>
  </si>
  <si>
    <t>ACTUAL EXPENSES @ JUNE 2013</t>
  </si>
  <si>
    <t>% BUDGET EXPENDED @ JUNE 2013</t>
  </si>
  <si>
    <t>JUNE 2013 BUDGET ANALYSIS</t>
  </si>
  <si>
    <t>AMBULANCE SERVICES</t>
  </si>
  <si>
    <t>DESCRIPTION (EXPENDITURES)</t>
  </si>
  <si>
    <t xml:space="preserve">Ending  Fund Balance                                          </t>
  </si>
  <si>
    <t xml:space="preserve">General Reserve Balance (Restricted)                </t>
  </si>
  <si>
    <t xml:space="preserve">Dues </t>
  </si>
  <si>
    <t>Building Insurance (falls under 274)</t>
  </si>
  <si>
    <t>Utilities (code to courthouse 51101)</t>
  </si>
  <si>
    <t>Pest Control Services (code to 51101)</t>
  </si>
  <si>
    <t>Fire Fighting Services (code to 51101)</t>
  </si>
  <si>
    <t>Repairs &amp; Maintenance-Bldg (code to 51101)</t>
  </si>
  <si>
    <t>Adversting/Publishing Voters List</t>
  </si>
  <si>
    <t>2014 POTENTIAL BUDGET REVENUES</t>
  </si>
  <si>
    <t>REDUCE BY OUTSTANDING NON-REIMBURSED PROJECTS</t>
  </si>
  <si>
    <t>R&amp;M Contractual Roads &amp;Bridges</t>
  </si>
  <si>
    <t>TOTAL ACTUAL  REVENUE RECEIVED @ 9/23/2013</t>
  </si>
  <si>
    <t>TOTAL ACTUAL EXPENSE &amp; OTHER USES @ 9/23/2013</t>
  </si>
  <si>
    <t>NOTES:</t>
  </si>
  <si>
    <t>This amount represents the 2 cent, 4 cent &amp; 5 cent projects</t>
  </si>
  <si>
    <t>Expenses are charged against all projects in RRR fund</t>
  </si>
  <si>
    <t xml:space="preserve">but reduced in Gasoline III. Technically, you are just </t>
  </si>
  <si>
    <t xml:space="preserve">shifting the cost between gas tax fund for proper </t>
  </si>
  <si>
    <t>FINANCE COMMITTEE SUGGESTED 2014 BUDGET</t>
  </si>
  <si>
    <t>COMMISSIONER MILLER SUGGESTED 2014 BUDGET</t>
  </si>
  <si>
    <t>COMMISSIONER HARRISON SUGGESTED 2014 BUDGET</t>
  </si>
  <si>
    <t>DESCRIPTION BY DEPARTMENT</t>
  </si>
  <si>
    <t>FINANCE COMMITTEE PROPOSED BUDGET</t>
  </si>
  <si>
    <t>◊◊</t>
  </si>
  <si>
    <r>
      <t xml:space="preserve">American Red Cross    </t>
    </r>
    <r>
      <rPr>
        <sz val="12"/>
        <rFont val="Calibri"/>
        <family val="2"/>
      </rPr>
      <t>◊◊</t>
    </r>
  </si>
  <si>
    <r>
      <t xml:space="preserve">Tri-County Sickle Cell Foundation  </t>
    </r>
    <r>
      <rPr>
        <sz val="12"/>
        <rFont val="Calibri"/>
        <family val="2"/>
      </rPr>
      <t>◊◊</t>
    </r>
  </si>
  <si>
    <r>
      <t xml:space="preserve">Drug Task Force/ 4th Judicial/Comm.Corrections </t>
    </r>
    <r>
      <rPr>
        <sz val="12"/>
        <rFont val="Calibri"/>
        <family val="2"/>
      </rPr>
      <t>◊◊</t>
    </r>
  </si>
  <si>
    <t>.</t>
  </si>
  <si>
    <t>OMITTED FROM BUDGET</t>
  </si>
  <si>
    <t>Veteran's Affairs  - (Perry County Office closed)</t>
  </si>
  <si>
    <t>Mapping &amp; Surveying   (added to Reappraisal -100% state supported)</t>
  </si>
  <si>
    <t xml:space="preserve">Natural Resource Development Specialist (FIRE PREVENTION) -Eliminated </t>
  </si>
  <si>
    <t>PUBLIC HWY &amp; TRAFFIC</t>
  </si>
  <si>
    <t>MOTOR VEHICLE TRAINING</t>
  </si>
  <si>
    <t>2XX</t>
  </si>
  <si>
    <t>Misc &amp; Travel Expenses</t>
  </si>
  <si>
    <t>Beg Fund Balance</t>
  </si>
  <si>
    <t>Revenue (incl Interest)</t>
  </si>
  <si>
    <t>APPROVED @9/30/2013</t>
  </si>
  <si>
    <t>Transfer-In (General)</t>
  </si>
  <si>
    <t>AMENDED @01/14/2014</t>
  </si>
  <si>
    <t>ACTUAL</t>
  </si>
  <si>
    <t>Registration</t>
  </si>
  <si>
    <t>Data Processing</t>
  </si>
  <si>
    <t>PROPOSED BUDGET 2014-2015</t>
  </si>
  <si>
    <t>Warrants Payable/Debt Service/Short Term Loans</t>
  </si>
  <si>
    <t>VARIANCE ACT VS BUD</t>
  </si>
  <si>
    <t>VARIANCE ACT TO BUDGET</t>
  </si>
  <si>
    <t>CAPITAL IMPROVEMENT - 116</t>
  </si>
  <si>
    <t>5 CENT GAS TAX</t>
  </si>
  <si>
    <t xml:space="preserve">If 250k of debt can be restructured, contingent items added will be Ambulance &amp; E 911 </t>
  </si>
  <si>
    <t>Commissioner Harrison Proposed Budget 2014-2015</t>
  </si>
  <si>
    <t>47100/47900</t>
  </si>
  <si>
    <t>Interest/ Other Misc Revenues</t>
  </si>
  <si>
    <t>Advertising (Bids)</t>
  </si>
  <si>
    <t>Transfer from Gasoline (Prior Year Excess Budgeted Transfers</t>
  </si>
  <si>
    <t>61124</t>
  </si>
  <si>
    <t>Transer from Gasoline (Prior Year Excess Budgeted Transfers</t>
  </si>
  <si>
    <t xml:space="preserve"> VARIANCE</t>
  </si>
  <si>
    <t>VARIANCE</t>
  </si>
  <si>
    <t>2015-2016 PROPOSED BUDGET</t>
  </si>
  <si>
    <t>47210-000</t>
  </si>
  <si>
    <t>Rentals of Buildings &amp; Land</t>
  </si>
  <si>
    <t>Reserved for Local Use Other Misc. Revenues (Loan Proceeds)</t>
  </si>
  <si>
    <t>Beginning Fund Balance 2014-2015</t>
  </si>
  <si>
    <t>TOTAL GASOLINE III EXPENSE BUDGET</t>
  </si>
  <si>
    <t>WITH $5 PER A/C INCREASE PROPOSED BUDGET  2015-2016</t>
  </si>
  <si>
    <t>61300</t>
  </si>
  <si>
    <t>Loan Proceeds</t>
  </si>
  <si>
    <t>YTD AUGUST 23</t>
  </si>
  <si>
    <t>2016-2017 PROPOSED BUDGET</t>
  </si>
  <si>
    <t>REVENUE DESCRIPTION</t>
  </si>
  <si>
    <t>YTD SEPT 15TH</t>
  </si>
  <si>
    <t>Fuel &amp; Oil Lubricants</t>
  </si>
  <si>
    <t>Miscellaneous Other Supplies</t>
  </si>
  <si>
    <t>Motor Vehicle Repairs</t>
  </si>
  <si>
    <t>Misc. Other Current Expenditures</t>
  </si>
  <si>
    <t>Courthouse &amp; Courthouse Annex I</t>
  </si>
  <si>
    <t>51102 - COURTHOUSE ANNEX II</t>
  </si>
  <si>
    <t>51101- COURTHOUSE &amp; ANNEX 1</t>
  </si>
  <si>
    <t>Motor Vehicle Purchase</t>
  </si>
  <si>
    <t xml:space="preserve"> Transfer from Gasoline </t>
  </si>
  <si>
    <t>Restricted -Hazard Mitigation  Funds</t>
  </si>
  <si>
    <t>YTD SEPT 15</t>
  </si>
  <si>
    <t>Loan Payable</t>
  </si>
  <si>
    <t>ACTUAL YTD SEPT 15</t>
  </si>
  <si>
    <t>Elderly Services - Eliminated</t>
  </si>
  <si>
    <t>Transfers IN (GAS III) Interfund Rec</t>
  </si>
  <si>
    <t>Transfer to Gasoline III</t>
  </si>
  <si>
    <t>General Debt</t>
  </si>
  <si>
    <t>BUDGET 2015-2016 ??</t>
  </si>
  <si>
    <t>2015-2016  BUDGET ??</t>
  </si>
  <si>
    <t>Motor Vehicle Insurance/Property Insurance</t>
  </si>
  <si>
    <t>Motor Vehicles - Insurance/Property Insurance</t>
  </si>
  <si>
    <t>2015-2016 Approved Budget ??</t>
  </si>
  <si>
    <t>ACTUAL @ 09/15/2016</t>
  </si>
  <si>
    <t>BALANCED</t>
  </si>
  <si>
    <t>2015-2016 PROPOSED BUDGET ??</t>
  </si>
  <si>
    <t>2015-2016 PROPOSED BUDGET??</t>
  </si>
  <si>
    <t>PROPOSED BUDGET  2015-2016 ??</t>
  </si>
  <si>
    <t>MANUFACTURED HOMES</t>
  </si>
  <si>
    <t>DID NOT BUDGET IN 2015-2016</t>
  </si>
  <si>
    <t>ACTUAL @ 09/30/2016</t>
  </si>
  <si>
    <t>GENERAL FUND</t>
  </si>
  <si>
    <t>Debt  Service Payments</t>
  </si>
  <si>
    <t>2007 PBA WARRANT (JAIL LEASE)</t>
  </si>
  <si>
    <t>2007 GEN OBLIG WARRANT</t>
  </si>
  <si>
    <t>2010-A GEN OBLIG WRNT(HOTEL)</t>
  </si>
  <si>
    <t>2010-B GEN. OBLIG WRNT(RENO)</t>
  </si>
  <si>
    <t>2013-A GEN OBLIG WARRANT</t>
  </si>
  <si>
    <t>2013-B GEN OBLIG WARRANT</t>
  </si>
  <si>
    <t>BANK LOAN</t>
  </si>
  <si>
    <t>ACCESS POINT @4% INTEREST</t>
  </si>
  <si>
    <t>APPROVED BUDGET 2016-2017</t>
  </si>
  <si>
    <t>VARIANCE $</t>
  </si>
  <si>
    <t>VARIANCE %</t>
  </si>
  <si>
    <t>APPROVED BUDGET</t>
  </si>
  <si>
    <t>AMENDED BUDGET</t>
  </si>
  <si>
    <t>AMENDED BUDGET 2016-2017</t>
  </si>
  <si>
    <t>APPROVED BUDGET      2016-2017</t>
  </si>
  <si>
    <t>APPROVED BUDGET       2016-2017</t>
  </si>
  <si>
    <t>Transfer (Reappraisal)</t>
  </si>
  <si>
    <t>APPROVED BUDGET                    2016-2017</t>
  </si>
  <si>
    <t>% OF BUDGET EXPENDED</t>
  </si>
  <si>
    <t>VARIANCE $ (UNDER)/OVER</t>
  </si>
  <si>
    <t>VARIANCE % REV RECEIVED</t>
  </si>
  <si>
    <t>% OF REVENUE RECEIVED</t>
  </si>
  <si>
    <t>45900-</t>
  </si>
  <si>
    <t>Miscellaneous Charges for Services</t>
  </si>
  <si>
    <t>FISCAL YE ESTIMATION</t>
  </si>
  <si>
    <t>FY ESTIMATION</t>
  </si>
  <si>
    <t>YTD AUGUST 2017</t>
  </si>
  <si>
    <t>2017-2018 BUDGET PROPOSAL</t>
  </si>
  <si>
    <t>Airline</t>
  </si>
  <si>
    <t>Groundskeeping Supplies</t>
  </si>
  <si>
    <t>Small Tools</t>
  </si>
  <si>
    <t>Equipment Rental (Postage Meter)</t>
  </si>
  <si>
    <t>Signs (Door signs - district judge, drug task force)</t>
  </si>
  <si>
    <t>AUGUST 2017 YTD ACTUAL</t>
  </si>
  <si>
    <t>44200-810</t>
  </si>
  <si>
    <t>DHR -State Reimbursement</t>
  </si>
  <si>
    <t>ACTUAL REVENUES YTD AUGUST 2017</t>
  </si>
  <si>
    <t>ACTUAL TRANSFERS YTD AUGUST 2017</t>
  </si>
  <si>
    <t>ACTUAL EXPENSES YTD AUGUST 2017</t>
  </si>
  <si>
    <t>ACTUAL YTD AUGUST 2017</t>
  </si>
  <si>
    <t>YTD ACTUAL AUGUST 2017</t>
  </si>
  <si>
    <t>YTD ACTUAL -AUGUST  2017</t>
  </si>
  <si>
    <t>Other Miscellaneous Transfers (ADECA; AL Comm PC Dialysis)</t>
  </si>
  <si>
    <t>2017-2018 BUDGET REQUESTS</t>
  </si>
  <si>
    <t>2017-2018  BUDGET REQUESTS</t>
  </si>
  <si>
    <t>Once legal fees are re-allocated to each department where it is</t>
  </si>
  <si>
    <t>budgeted, other items under budget can be re-allocated to cover</t>
  </si>
  <si>
    <t>overages</t>
  </si>
  <si>
    <t>Engineering &amp; Architechural Services</t>
  </si>
  <si>
    <t>41250</t>
  </si>
  <si>
    <t>Lodging Tax (90%)</t>
  </si>
  <si>
    <t>APPROVED BUDGET  2016-2017</t>
  </si>
  <si>
    <t>Workmen's Comp</t>
  </si>
  <si>
    <t>Engineering Service</t>
  </si>
  <si>
    <t xml:space="preserve">Misc. Other Expenditures </t>
  </si>
  <si>
    <t>AUGUST 2016-2017 ACTUAL REVENUES</t>
  </si>
  <si>
    <t>ACTUAL REVENUES AUGUST 2017</t>
  </si>
  <si>
    <t>Building Improvements</t>
  </si>
  <si>
    <t xml:space="preserve">DUE TO REDUCTION IN WORK </t>
  </si>
  <si>
    <t>FORCE</t>
  </si>
  <si>
    <t xml:space="preserve">PART TIME HEALTH CARE COORDINATOR </t>
  </si>
  <si>
    <t>FORENSICS</t>
  </si>
  <si>
    <t>UTILITIES</t>
  </si>
  <si>
    <t>PART TIME HEALTH CARE COORDINATOR</t>
  </si>
  <si>
    <t>ALATOM</t>
  </si>
  <si>
    <t>RC&amp; D</t>
  </si>
  <si>
    <t>ELIMINATE ASST - 9220.86</t>
  </si>
  <si>
    <t>ELIMINATE LINE ITEM 550</t>
  </si>
  <si>
    <t>REDUCTION IN WORK FORCE - 38279.80 - SIGN TECHNICIAN</t>
  </si>
  <si>
    <t>ASST ENGINEER - 70393.18</t>
  </si>
  <si>
    <t>Operating Transfer from Capital Improvement</t>
  </si>
  <si>
    <t>Transfer  (Capital Improvement)</t>
  </si>
  <si>
    <t>CAPITAL IMPROVEMENT</t>
  </si>
  <si>
    <t>TOTAL 59200</t>
  </si>
  <si>
    <t>COMMISSIONER HARRISON'S SUGGESTIONS</t>
  </si>
  <si>
    <t>APPROPRIATE ADD'L 10,000 TO LIBRARY</t>
  </si>
  <si>
    <t>DUE TO REDUCTION IN WORK FORCE; PT HEALTH COORD @10,765; ELIMINATE INDIGENT EXPENSE; INCREASE FORENSIC TO 2500; ELIMINATE ASST ADMIN</t>
  </si>
  <si>
    <t>ELIMINATE ACCESS POINT FURNITURE LOAN FROM BUDGET</t>
  </si>
  <si>
    <t>OUT OF BALANCE</t>
  </si>
  <si>
    <t>Expenses/Other Uses:</t>
  </si>
  <si>
    <t>2007 GENERAL OBLIGATION WARRANT (CAPITAL)</t>
  </si>
  <si>
    <t>2010-A GENERAL OBLIGATION WARRANT (HOTEL)</t>
  </si>
  <si>
    <t>2010-B GENERAL OBLIGATION WRNT (COURTHOUSE RENO)</t>
  </si>
  <si>
    <t>2013-A GENERAL OBLIG WRNT (REFI 2004 GBO)</t>
  </si>
  <si>
    <t>2013-B GENERAL OBLIG WRNT (ADD'L COURTHOUSE RENO)</t>
  </si>
  <si>
    <t>GEN</t>
  </si>
  <si>
    <t>CAP IMP</t>
  </si>
  <si>
    <t>GEN/CAP IMP</t>
  </si>
  <si>
    <t xml:space="preserve"> 2017-2018</t>
  </si>
  <si>
    <t>2017-2018 BUDGET</t>
  </si>
  <si>
    <t xml:space="preserve">APPROVED BUDGET </t>
  </si>
  <si>
    <t>FY 2017-2018</t>
  </si>
  <si>
    <t xml:space="preserve">revenue and expense classification.  </t>
  </si>
  <si>
    <t xml:space="preserve">SHERIFF CONDEMNATION </t>
  </si>
  <si>
    <t>Expenses (52100):</t>
  </si>
  <si>
    <t>PC DIALYSIS RENTAL ACCOUNT</t>
  </si>
  <si>
    <t>CAPITAL IMPROVEMENT FUND</t>
  </si>
  <si>
    <t>BUDGET TO ACTUAL JULY 2018</t>
  </si>
  <si>
    <t>PROPOSED BUDGET 2018-2019</t>
  </si>
  <si>
    <t>APPROVED BUDGET 2018-2019</t>
  </si>
  <si>
    <t>2017-2018 APPROVED BUDGET</t>
  </si>
  <si>
    <t>*We actually paid 172,500 thru August 2018</t>
  </si>
  <si>
    <t>** The budget for 2017-2018 = $15,000 x 15</t>
  </si>
  <si>
    <t>which included the 3 months were past due</t>
  </si>
  <si>
    <t>from fy 2016-2017, that's why it looks like we</t>
  </si>
  <si>
    <t>are under budget</t>
  </si>
  <si>
    <t xml:space="preserve">2017-2018 APPROVED BUDGET </t>
  </si>
  <si>
    <t>2017-2018 AMENDED BUDGET</t>
  </si>
  <si>
    <t>REVENUES</t>
  </si>
  <si>
    <t>NOT BUDGETED AT THIS TIME</t>
  </si>
  <si>
    <t>DEBT SERVICE PAYMENT</t>
  </si>
  <si>
    <t>Misc expenses</t>
  </si>
  <si>
    <t xml:space="preserve"> ACTUAL JULY 2018</t>
  </si>
  <si>
    <t>250/251</t>
  </si>
  <si>
    <t>Communications/Telephone</t>
  </si>
  <si>
    <t>Interfund Payable (Capital Improvement)</t>
  </si>
  <si>
    <t>APPROVED  BUDGET                    2017-2018</t>
  </si>
  <si>
    <t xml:space="preserve"> APPROVED BUDGET                    2017-2018</t>
  </si>
  <si>
    <t>PROPOSED BUDGET AFTER 9/10/18 BUDGET HEARING</t>
  </si>
  <si>
    <t>PROPOSED BUDGET AFTER 9/10/2018 BUDGET HEARING</t>
  </si>
  <si>
    <t xml:space="preserve">IT HAS BEEN PROPOSED THE AMBULANCE WILL </t>
  </si>
  <si>
    <t xml:space="preserve">REDUCE THEIR CONTRACT BY $10,000 FOR </t>
  </si>
  <si>
    <t>PURPOSE OF UTILIZING E-911</t>
  </si>
  <si>
    <t>APPROVED BUDGET 2019</t>
  </si>
  <si>
    <t>ALSO AN ADDITIONAL $30K WILL BE PAID DIRECTLY</t>
  </si>
  <si>
    <t>TO THE AMBULANCE FROM THE HOSPITAL BOARD</t>
  </si>
  <si>
    <t>TO OFFSET SOME OF THE COSTS OF THESE SERVICES</t>
  </si>
  <si>
    <t>PROPOSED BUDGET 2018-2019 (SUBMITED 9/5/2018)</t>
  </si>
  <si>
    <t>PROPOSED BUDGET 2018-2019 (SUBMITTED 9/5/2018)</t>
  </si>
  <si>
    <t>SUBMITED 9/5/2018</t>
  </si>
  <si>
    <t>AFTER 9/10/2018</t>
  </si>
  <si>
    <t>BUDGET HEARING</t>
  </si>
  <si>
    <t>UNBALANCED</t>
  </si>
  <si>
    <t>BUDGET TO ACTUAL 9/24/ 2018</t>
  </si>
  <si>
    <t>BUDGET TO ACTUAL 9/24/2018</t>
  </si>
  <si>
    <t>Vetinerian Services  (001-55450)</t>
  </si>
  <si>
    <t xml:space="preserve"> ACTUAL AUGUST 2018</t>
  </si>
  <si>
    <t xml:space="preserve"> ACTUAL THRU 9/27/2018</t>
  </si>
  <si>
    <t xml:space="preserve">Contract Services </t>
  </si>
  <si>
    <t>PROPOSED BUDGET AFTER 9/17/18 WORKSHOP</t>
  </si>
  <si>
    <t>PROPOSED BUDGET AFTER 9/10 &amp; 9/17 CHANGES</t>
  </si>
  <si>
    <t>PROPOSED BUDGET AFTER 9/17/18 WORKSHOP'</t>
  </si>
  <si>
    <t>PROPOSED BUDGET AFTER 9/17/2018 WORKSHOP</t>
  </si>
  <si>
    <t>AMENDED 11/7/2018</t>
  </si>
  <si>
    <t>AMENDED</t>
  </si>
  <si>
    <t>DUAL ENROLLMENT</t>
  </si>
  <si>
    <t>BUDGET TO ACTUAL 2018</t>
  </si>
  <si>
    <t>Represents what was actually billed to the customers account</t>
  </si>
  <si>
    <t xml:space="preserve"> - Commission needs to determine if you want to budget actual</t>
  </si>
  <si>
    <t>Summary:</t>
  </si>
  <si>
    <t>Total paying customers:</t>
  </si>
  <si>
    <t>Customer Type breakdown:</t>
  </si>
  <si>
    <t>Regular Customers</t>
  </si>
  <si>
    <t>Customer who pay only through Oct-Dec</t>
  </si>
  <si>
    <t>Customers you pay only April through Septemer</t>
  </si>
  <si>
    <t>Annual Fee</t>
  </si>
  <si>
    <t>Potential Revenue</t>
  </si>
  <si>
    <t>billings or actual payments or actual billings less the 30% allowance for doubtful accounts which is significantly less than what is received</t>
  </si>
  <si>
    <t>TOTAL POTENTIAL REVENUE</t>
  </si>
  <si>
    <t>AMENDED /APPROVED BUDGET 2018-2019</t>
  </si>
  <si>
    <t>DEBTSERVICE PAYMENT</t>
  </si>
  <si>
    <t>SUPPLEMENTAL SCHEDULE -BUDGET WORK -APPROVED</t>
  </si>
  <si>
    <t>2019-2020</t>
  </si>
  <si>
    <t>EXPENSES EXTRAPULATED TO 9/30/2019 BASED ON ACTUAL EXPENSE THRU 6/30/2019</t>
  </si>
  <si>
    <t>% EXPENDED VS APPROVED BUDGET</t>
  </si>
  <si>
    <t>State Grants (Scrap tire/ADECA)</t>
  </si>
  <si>
    <t>Revenue from Cities</t>
  </si>
  <si>
    <t>FY 2020 BUDGET PROPOSED</t>
  </si>
  <si>
    <t>ACTUAL REVENUES RECEIVED + EST YE REV</t>
  </si>
  <si>
    <t>2019-2020 BUDGET PROPOSAL</t>
  </si>
  <si>
    <t>EXTRAPULATED EXPENSES TO 9/30/2019</t>
  </si>
  <si>
    <t>Building Repairs/Maintenance</t>
  </si>
  <si>
    <t xml:space="preserve">Communications Equipment </t>
  </si>
  <si>
    <t>EXPENSES EXTRAPULATED TO 9/30/2019</t>
  </si>
  <si>
    <t>REVENUES ESTIMATED THRU 9/30/2019</t>
  </si>
  <si>
    <t>Contract Services (Achiving)</t>
  </si>
  <si>
    <t>DALLAS COUNTY DETENTION</t>
  </si>
  <si>
    <t xml:space="preserve"> = BALANCED IF ZERO</t>
  </si>
  <si>
    <t>TABLE OF CONTENTS</t>
  </si>
  <si>
    <t>PAGES</t>
  </si>
  <si>
    <t>BUDGET SUMMARY SUGGESTIONS</t>
  </si>
  <si>
    <t xml:space="preserve"> 3 -6</t>
  </si>
  <si>
    <t>COMMISSION (51100)</t>
  </si>
  <si>
    <t xml:space="preserve"> 7 - 9</t>
  </si>
  <si>
    <t>COURTHOUSE &amp; COURTHOUSE ANNEX (51101)</t>
  </si>
  <si>
    <t>COURTHOUSE ANNEX II (51102)</t>
  </si>
  <si>
    <t>COURT REPORTERS (51210)</t>
  </si>
  <si>
    <t>DISTRICT JUDGE (51212)</t>
  </si>
  <si>
    <t>CIRCUIT CLERK (51220)</t>
  </si>
  <si>
    <t>DISTRICT ATTORNEY (51260)</t>
  </si>
  <si>
    <t>PROBATE OFFICE (51300)</t>
  </si>
  <si>
    <t>REVENUE COMMISSIONER (51600)</t>
  </si>
  <si>
    <t>ELECTIONS (51910)</t>
  </si>
  <si>
    <t>BOARD OF REGISTRARS (51920)</t>
  </si>
  <si>
    <t>SHERIFF/JAIL DEPARTMENT (52100)</t>
  </si>
  <si>
    <t xml:space="preserve"> 20 -21</t>
  </si>
  <si>
    <t>PERRY COUNT E-911 (52300)</t>
  </si>
  <si>
    <t>COURTHOUSE SECURITY</t>
  </si>
  <si>
    <t>LIBRARY</t>
  </si>
  <si>
    <t>INTERGOVERNMENT SERVICES</t>
  </si>
  <si>
    <t>GASOLINE III</t>
  </si>
  <si>
    <t>DEBT REDUCTION</t>
  </si>
  <si>
    <t>ROAD &amp; BRIDGE</t>
  </si>
  <si>
    <t>RRR - GAS TAX</t>
  </si>
  <si>
    <t>2 CENT GAS TAX</t>
  </si>
  <si>
    <t>CIVIL DEFENSE</t>
  </si>
  <si>
    <t>SOLID WASTE</t>
  </si>
  <si>
    <t>PC DIALYSIS ACCOUNT</t>
  </si>
  <si>
    <t>2007 PBA (JAIL WARRANT)</t>
  </si>
  <si>
    <t>2007 GBO (CAPITAL)</t>
  </si>
  <si>
    <t>2010-A GBO (HOTEL)</t>
  </si>
  <si>
    <t>2010-B GBO (COURTHOUSE RENO)</t>
  </si>
  <si>
    <t>2013-A GBO</t>
  </si>
  <si>
    <t>2013-B GBO</t>
  </si>
  <si>
    <t>DEBT SERVICE SUMMARY</t>
  </si>
  <si>
    <t>PC HISTORICAL JAIL FUND</t>
  </si>
  <si>
    <t>NPS GRANT FUNDS</t>
  </si>
  <si>
    <t>EXPENSES/OTHER USES</t>
  </si>
  <si>
    <t>JAIL REHABILIATION EXPENSES</t>
  </si>
  <si>
    <t>PC HISTORICAL JAIL REHAB FUND</t>
  </si>
  <si>
    <t>BLACK BELT FOUNDATION</t>
  </si>
  <si>
    <t>AL COOPERATIVE EXTENSION</t>
  </si>
  <si>
    <t>PROPOSED</t>
  </si>
  <si>
    <t>VETERINARY SERVICES</t>
  </si>
  <si>
    <t>INDIGENT SERVICES</t>
  </si>
  <si>
    <t>29 - 31</t>
  </si>
  <si>
    <t>BUDGET - PROPOSED</t>
  </si>
  <si>
    <t>BUDGET 2019-2020</t>
  </si>
  <si>
    <t>APPROVED 2019-2020 BUDGET</t>
  </si>
  <si>
    <t xml:space="preserve">APPROVED 2019-2020 BUDGET </t>
  </si>
  <si>
    <t xml:space="preserve">2019-2020 APPROVED BUDGET </t>
  </si>
  <si>
    <t>2019-2020 APPROVED BUDGET</t>
  </si>
  <si>
    <t>ACTUAL EXPENSE</t>
  </si>
  <si>
    <t>BUDGET VS ACTUAL</t>
  </si>
  <si>
    <t xml:space="preserve">2019-2020 BUDGET </t>
  </si>
  <si>
    <t>2019-2020 BUDGET</t>
  </si>
  <si>
    <t>*All other categories are part of main courthouse exp to be allocated WITHIN THE NEW</t>
  </si>
  <si>
    <t>COMPARISON PURPOSES FOR FY 2020</t>
  </si>
  <si>
    <t>ACCUFUND SYTEM - TECHNICALLY THIS BUDGET LINE ITEM WILL BE ADDED TO 51101 FOR</t>
  </si>
  <si>
    <t>ACTUAL EXPENSES</t>
  </si>
  <si>
    <t>ACTUAL REVENUE</t>
  </si>
  <si>
    <t xml:space="preserve"> Elections  *see notes</t>
  </si>
  <si>
    <t>Revenue from Municipalities - reflected in PC Dialysis fund- *see notes</t>
  </si>
  <si>
    <t>% REVENUE RECEIVED</t>
  </si>
  <si>
    <t>BEGINNING FUND BALANCE *see notes</t>
  </si>
  <si>
    <t>Beginning Fund Balance *see notes</t>
  </si>
  <si>
    <t>ACTUAL TRANSERS</t>
  </si>
  <si>
    <t>ACTUAL TRANSFERS OUT</t>
  </si>
  <si>
    <t>%TRANSFERRED OUT</t>
  </si>
  <si>
    <t>Beginning Fund Balance  *see notes</t>
  </si>
  <si>
    <t>% TRANSFERRED OUT</t>
  </si>
  <si>
    <t>ACTUAL TRANSFERS/EXPENSES</t>
  </si>
  <si>
    <t>Transfer to General 001 *see notes</t>
  </si>
  <si>
    <t>2020-2021 PROPOSED BUDGET</t>
  </si>
  <si>
    <t xml:space="preserve">Notes: </t>
  </si>
  <si>
    <t>ACTUAL REVENUE  *See Notes</t>
  </si>
  <si>
    <t>a) Beginning fund balance represents the actual cash balance per the bank recon, this needs to be reviewed and maybe reduced by 50% to be conservative</t>
  </si>
  <si>
    <t>in the PC Dialysis account to ensure the funds are used for that purpose. The amount is then transferred to General Fund to pay the ambulance service.</t>
  </si>
  <si>
    <t>Health Grants ( &amp; Hospital Board) - reflected in transfers in below -see notes</t>
  </si>
  <si>
    <t>b) Lodging tax can only be budgeted at 10% of total tax received according to the Act that was passed. (41250)</t>
  </si>
  <si>
    <t>c) Have to research to see if this was processed by the September 30 deadline and if received, it may have been recorded under another revenue code. (44230)</t>
  </si>
  <si>
    <t>d) Revenue from Municipalties is received from the City of Marion to offset the cost of ambulance services, so this revenue is recorded separately  (44910)</t>
  </si>
  <si>
    <t>Note d also applies to line item 44310</t>
  </si>
  <si>
    <t>2020-2021</t>
  </si>
  <si>
    <t>This account reflects expenses from the courthouse, courthouse annex 1, parks, farmer's market etc.</t>
  </si>
  <si>
    <t>2020-2021 BUDGET PROPOSAL</t>
  </si>
  <si>
    <t>61100</t>
  </si>
  <si>
    <t>District Judge (See notes)</t>
  </si>
  <si>
    <t>Circuit Clerk (See notes)</t>
  </si>
  <si>
    <t>District Attorney (See notes)</t>
  </si>
  <si>
    <t>Includes 10k owed from prior year contract</t>
  </si>
  <si>
    <t>2019-2020 BUDGET PROPOSED</t>
  </si>
  <si>
    <t>Building Repairs*</t>
  </si>
  <si>
    <t>*$51,283 related to hotel expenses</t>
  </si>
  <si>
    <t>APPROVED BUDGET 2019-2020</t>
  </si>
  <si>
    <t>Proposed 2020-2021</t>
  </si>
  <si>
    <t>47353-730</t>
  </si>
  <si>
    <t>Sales of Asphalt</t>
  </si>
  <si>
    <t>ACTUAL REVENUE 2019-2020</t>
  </si>
  <si>
    <t>ACTUAL TRANSFERS 2019-2020</t>
  </si>
  <si>
    <t>2019-2020 BUDGET APPROVED</t>
  </si>
  <si>
    <t>ACTUAL EXPENSES 2019-2020</t>
  </si>
  <si>
    <t>ACTUAL REVENUES 2019-2020</t>
  </si>
  <si>
    <t xml:space="preserve">2020-2021 PROPOSED BUDGET </t>
  </si>
  <si>
    <t>ACTUAL 2019-2020</t>
  </si>
  <si>
    <t>Organization/Association Membership Fees &amp; Dues</t>
  </si>
  <si>
    <t>520/523/529</t>
  </si>
  <si>
    <t xml:space="preserve">Storm Shelters </t>
  </si>
  <si>
    <t>PROPOSED BUDGET 2020-2021</t>
  </si>
  <si>
    <t>ACTUAL REVENUE (BILLED PER QTR) 2019-2020</t>
  </si>
  <si>
    <t>2019-2020  ACTUAL REVENUES</t>
  </si>
  <si>
    <t>2019-2020 ACTUAL EXPENSES</t>
  </si>
  <si>
    <t>2019-2020 ACTUAL REVENUES</t>
  </si>
  <si>
    <t>Transfers -out</t>
  </si>
  <si>
    <t>62xxx</t>
  </si>
  <si>
    <t>2019-2020 ACTUAL EXPENSES/TRANSFERS OUT</t>
  </si>
  <si>
    <t>2019-2021 PROPOSED BUDGET</t>
  </si>
  <si>
    <t>REBUILD AMERICA</t>
  </si>
  <si>
    <t xml:space="preserve">2020-2021 </t>
  </si>
  <si>
    <t>220-44198-830</t>
  </si>
  <si>
    <t>2019-2020 ACTUAL REV</t>
  </si>
  <si>
    <t>State Add'l Excise Tax</t>
  </si>
  <si>
    <t>2020-2021  BUDGET PROPOSAL</t>
  </si>
  <si>
    <t>2019-2020 ACTUAL EXP/TRANSFERS-OUT</t>
  </si>
  <si>
    <t xml:space="preserve">Gasoline III </t>
  </si>
  <si>
    <t>Expenses</t>
  </si>
  <si>
    <t>53700-499</t>
  </si>
  <si>
    <t>FEDERAL EXCHANGE</t>
  </si>
  <si>
    <t>221-44198-830</t>
  </si>
  <si>
    <t>Gasoline III (ASSIGNED FED PROJECTS)</t>
  </si>
  <si>
    <t>Reduced this to match expenses,  history shows that it is unlikely total revenue will be collected.</t>
  </si>
  <si>
    <t>PROPOSED BUDGET</t>
  </si>
  <si>
    <t>FY 2020-2021</t>
  </si>
  <si>
    <t>Cash proceeds from 2019 Gas Tax Warrant</t>
  </si>
  <si>
    <t xml:space="preserve">Transfer in from Rebuild Alabama Acct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</si>
</sst>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400]h:mm:ss\ AM/PM"/>
  </numFmts>
  <fonts count="9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Palatino Linotype"/>
      <family val="1"/>
    </font>
    <font>
      <b/>
      <sz val="16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2"/>
      <name val="Palatino Linotype"/>
      <family val="1"/>
    </font>
    <font>
      <sz val="10"/>
      <name val="Arial"/>
      <family val="2"/>
    </font>
    <font>
      <i/>
      <sz val="8"/>
      <name val="Arial"/>
      <family val="2"/>
    </font>
    <font>
      <b/>
      <u/>
      <sz val="10"/>
      <name val="Palatino Linotype"/>
      <family val="1"/>
    </font>
    <font>
      <sz val="10"/>
      <name val="Arial"/>
      <family val="2"/>
    </font>
    <font>
      <sz val="12"/>
      <name val="Palatino Linotyp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Palatino Linotype"/>
      <family val="1"/>
    </font>
    <font>
      <sz val="10"/>
      <color indexed="8"/>
      <name val="Palatino Linotype"/>
      <family val="1"/>
    </font>
    <font>
      <b/>
      <sz val="12"/>
      <color indexed="8"/>
      <name val="Palatino Linotype"/>
      <family val="1"/>
    </font>
    <font>
      <b/>
      <sz val="11"/>
      <color indexed="8"/>
      <name val="Palatino Linotype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1"/>
      <color indexed="8"/>
      <name val="Calibri"/>
      <family val="2"/>
    </font>
    <font>
      <b/>
      <u/>
      <sz val="10"/>
      <color indexed="8"/>
      <name val="Palatino Linotype"/>
      <family val="1"/>
    </font>
    <font>
      <sz val="11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Palatino Linotype"/>
      <family val="1"/>
    </font>
    <font>
      <b/>
      <sz val="10"/>
      <color indexed="8"/>
      <name val="Palatino Linotype"/>
      <family val="1"/>
    </font>
    <font>
      <sz val="12"/>
      <color indexed="8"/>
      <name val="Palatino Linotype"/>
      <family val="1"/>
    </font>
    <font>
      <b/>
      <u/>
      <sz val="12"/>
      <name val="Palatino Linotype"/>
      <family val="1"/>
    </font>
    <font>
      <b/>
      <u/>
      <sz val="12"/>
      <color indexed="8"/>
      <name val="Palatino Linotype"/>
      <family val="1"/>
    </font>
    <font>
      <sz val="14"/>
      <name val="Palatino Linotype"/>
      <family val="1"/>
    </font>
    <font>
      <sz val="11"/>
      <color indexed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4"/>
      <color theme="1"/>
      <name val="Times New Roman"/>
      <family val="1"/>
    </font>
    <font>
      <sz val="14"/>
      <color indexed="8"/>
      <name val="Palatino Linotype"/>
      <family val="1"/>
    </font>
    <font>
      <b/>
      <sz val="14"/>
      <color theme="1"/>
      <name val="Palatino Linotype"/>
      <family val="1"/>
    </font>
    <font>
      <b/>
      <i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Palatino Linotype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Palatino Linotype"/>
      <family val="1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sz val="12"/>
      <name val="Calibri"/>
      <family val="2"/>
    </font>
    <font>
      <b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Palatino Linotype"/>
      <family val="1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indexed="8"/>
      <name val="Palatino Linotype"/>
      <family val="1"/>
    </font>
    <font>
      <sz val="14"/>
      <color theme="1"/>
      <name val="Palatino Linotype"/>
      <family val="1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/>
    <xf numFmtId="43" fontId="12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44" fontId="74" fillId="0" borderId="0" applyFont="0" applyFill="0" applyBorder="0" applyAlignment="0" applyProtection="0"/>
  </cellStyleXfs>
  <cellXfs count="1840">
    <xf numFmtId="0" fontId="0" fillId="0" borderId="0" xfId="0"/>
    <xf numFmtId="43" fontId="3" fillId="2" borderId="3" xfId="1" applyFont="1" applyFill="1" applyBorder="1" applyAlignment="1">
      <alignment horizontal="centerContinuous"/>
    </xf>
    <xf numFmtId="40" fontId="3" fillId="2" borderId="3" xfId="1" applyNumberFormat="1" applyFont="1" applyFill="1" applyBorder="1" applyAlignment="1">
      <alignment horizontal="centerContinuous"/>
    </xf>
    <xf numFmtId="43" fontId="3" fillId="2" borderId="0" xfId="1" applyFont="1" applyFill="1" applyBorder="1" applyAlignment="1">
      <alignment horizontal="centerContinuous"/>
    </xf>
    <xf numFmtId="43" fontId="3" fillId="2" borderId="0" xfId="1" quotePrefix="1" applyFont="1" applyFill="1" applyBorder="1" applyAlignment="1">
      <alignment horizontal="centerContinuous"/>
    </xf>
    <xf numFmtId="40" fontId="3" fillId="2" borderId="0" xfId="1" applyNumberFormat="1" applyFont="1" applyFill="1" applyBorder="1" applyAlignment="1">
      <alignment horizontal="centerContinuous"/>
    </xf>
    <xf numFmtId="43" fontId="3" fillId="2" borderId="1" xfId="1" applyFont="1" applyFill="1" applyBorder="1" applyAlignment="1">
      <alignment horizontal="centerContinuous"/>
    </xf>
    <xf numFmtId="43" fontId="3" fillId="2" borderId="1" xfId="1" quotePrefix="1" applyFont="1" applyFill="1" applyBorder="1" applyAlignment="1">
      <alignment horizontal="centerContinuous"/>
    </xf>
    <xf numFmtId="40" fontId="3" fillId="2" borderId="1" xfId="1" applyNumberFormat="1" applyFont="1" applyFill="1" applyBorder="1" applyAlignment="1">
      <alignment horizontal="centerContinuous"/>
    </xf>
    <xf numFmtId="0" fontId="4" fillId="0" borderId="0" xfId="5" applyFont="1"/>
    <xf numFmtId="43" fontId="4" fillId="0" borderId="0" xfId="1" applyFont="1"/>
    <xf numFmtId="40" fontId="4" fillId="0" borderId="0" xfId="1" applyNumberFormat="1" applyFont="1"/>
    <xf numFmtId="43" fontId="5" fillId="0" borderId="1" xfId="1" applyFont="1" applyBorder="1" applyAlignment="1">
      <alignment horizontal="center" wrapText="1"/>
    </xf>
    <xf numFmtId="40" fontId="5" fillId="0" borderId="1" xfId="1" applyNumberFormat="1" applyFont="1" applyBorder="1" applyAlignment="1">
      <alignment horizontal="center" wrapText="1"/>
    </xf>
    <xf numFmtId="0" fontId="4" fillId="0" borderId="0" xfId="5" quotePrefix="1" applyFont="1"/>
    <xf numFmtId="43" fontId="4" fillId="0" borderId="1" xfId="1" applyFont="1" applyBorder="1"/>
    <xf numFmtId="0" fontId="6" fillId="0" borderId="0" xfId="5" applyFont="1"/>
    <xf numFmtId="40" fontId="6" fillId="0" borderId="0" xfId="1" applyNumberFormat="1" applyFont="1"/>
    <xf numFmtId="0" fontId="4" fillId="3" borderId="0" xfId="5" quotePrefix="1" applyFont="1" applyFill="1"/>
    <xf numFmtId="0" fontId="3" fillId="2" borderId="3" xfId="11" applyFont="1" applyFill="1" applyBorder="1" applyAlignment="1">
      <alignment horizontal="centerContinuous"/>
    </xf>
    <xf numFmtId="0" fontId="3" fillId="2" borderId="0" xfId="11" applyFont="1" applyFill="1" applyBorder="1" applyAlignment="1">
      <alignment horizontal="centerContinuous"/>
    </xf>
    <xf numFmtId="14" fontId="3" fillId="2" borderId="1" xfId="11" applyNumberFormat="1" applyFont="1" applyFill="1" applyBorder="1" applyAlignment="1">
      <alignment horizontal="centerContinuous"/>
    </xf>
    <xf numFmtId="0" fontId="3" fillId="2" borderId="1" xfId="11" applyFont="1" applyFill="1" applyBorder="1" applyAlignment="1">
      <alignment horizontal="centerContinuous"/>
    </xf>
    <xf numFmtId="0" fontId="4" fillId="0" borderId="0" xfId="11" applyFont="1"/>
    <xf numFmtId="0" fontId="4" fillId="0" borderId="0" xfId="6" applyFont="1"/>
    <xf numFmtId="0" fontId="4" fillId="0" borderId="0" xfId="9" applyFont="1"/>
    <xf numFmtId="0" fontId="4" fillId="3" borderId="0" xfId="6" quotePrefix="1" applyFont="1" applyFill="1"/>
    <xf numFmtId="0" fontId="3" fillId="2" borderId="3" xfId="13" applyFont="1" applyFill="1" applyBorder="1" applyAlignment="1">
      <alignment horizontal="centerContinuous"/>
    </xf>
    <xf numFmtId="0" fontId="3" fillId="2" borderId="0" xfId="13" applyFont="1" applyFill="1" applyBorder="1" applyAlignment="1">
      <alignment horizontal="centerContinuous"/>
    </xf>
    <xf numFmtId="0" fontId="4" fillId="0" borderId="0" xfId="13" applyFont="1"/>
    <xf numFmtId="0" fontId="4" fillId="0" borderId="0" xfId="13" quotePrefix="1" applyFont="1"/>
    <xf numFmtId="0" fontId="4" fillId="0" borderId="0" xfId="13" applyFont="1" applyFill="1"/>
    <xf numFmtId="0" fontId="4" fillId="3" borderId="0" xfId="11" quotePrefix="1" applyFont="1" applyFill="1"/>
    <xf numFmtId="0" fontId="3" fillId="2" borderId="3" xfId="2" applyFont="1" applyFill="1" applyBorder="1" applyAlignment="1">
      <alignment horizontal="centerContinuous"/>
    </xf>
    <xf numFmtId="0" fontId="7" fillId="0" borderId="0" xfId="2"/>
    <xf numFmtId="0" fontId="4" fillId="0" borderId="2" xfId="2" applyFont="1" applyBorder="1"/>
    <xf numFmtId="0" fontId="9" fillId="0" borderId="0" xfId="2" applyFont="1" applyFill="1"/>
    <xf numFmtId="0" fontId="3" fillId="2" borderId="0" xfId="12" applyFont="1" applyFill="1" applyBorder="1" applyAlignment="1">
      <alignment horizontal="centerContinuous"/>
    </xf>
    <xf numFmtId="0" fontId="4" fillId="0" borderId="0" xfId="12" applyFont="1"/>
    <xf numFmtId="0" fontId="4" fillId="0" borderId="0" xfId="12" quotePrefix="1" applyFont="1"/>
    <xf numFmtId="0" fontId="4" fillId="0" borderId="0" xfId="12" applyFont="1" applyBorder="1"/>
    <xf numFmtId="0" fontId="4" fillId="0" borderId="0" xfId="8" applyFont="1"/>
    <xf numFmtId="0" fontId="4" fillId="0" borderId="0" xfId="8" quotePrefix="1" applyFont="1"/>
    <xf numFmtId="0" fontId="3" fillId="2" borderId="0" xfId="10" applyFont="1" applyFill="1" applyBorder="1" applyAlignment="1">
      <alignment horizontal="centerContinuous"/>
    </xf>
    <xf numFmtId="0" fontId="4" fillId="0" borderId="0" xfId="10" applyFont="1"/>
    <xf numFmtId="0" fontId="4" fillId="0" borderId="0" xfId="10" quotePrefix="1" applyFont="1"/>
    <xf numFmtId="0" fontId="4" fillId="0" borderId="0" xfId="10" applyFont="1" applyBorder="1"/>
    <xf numFmtId="43" fontId="4" fillId="0" borderId="0" xfId="1" applyFont="1" applyBorder="1" applyAlignment="1"/>
    <xf numFmtId="40" fontId="4" fillId="0" borderId="0" xfId="1" applyNumberFormat="1" applyFont="1" applyBorder="1" applyAlignment="1"/>
    <xf numFmtId="0" fontId="4" fillId="0" borderId="0" xfId="3" applyFont="1"/>
    <xf numFmtId="0" fontId="4" fillId="0" borderId="0" xfId="3" quotePrefix="1" applyFont="1"/>
    <xf numFmtId="43" fontId="6" fillId="0" borderId="0" xfId="1" applyFont="1"/>
    <xf numFmtId="0" fontId="3" fillId="2" borderId="3" xfId="4" applyFont="1" applyFill="1" applyBorder="1" applyAlignment="1">
      <alignment horizontal="centerContinuous"/>
    </xf>
    <xf numFmtId="0" fontId="3" fillId="2" borderId="0" xfId="4" applyFont="1" applyFill="1" applyBorder="1" applyAlignment="1">
      <alignment horizontal="centerContinuous"/>
    </xf>
    <xf numFmtId="0" fontId="3" fillId="2" borderId="1" xfId="4" applyFont="1" applyFill="1" applyBorder="1" applyAlignment="1">
      <alignment horizontal="centerContinuous"/>
    </xf>
    <xf numFmtId="14" fontId="3" fillId="2" borderId="1" xfId="4" applyNumberFormat="1" applyFont="1" applyFill="1" applyBorder="1" applyAlignment="1">
      <alignment horizontal="centerContinuous"/>
    </xf>
    <xf numFmtId="0" fontId="4" fillId="0" borderId="0" xfId="4" applyFont="1"/>
    <xf numFmtId="0" fontId="4" fillId="0" borderId="0" xfId="4" quotePrefix="1" applyFont="1"/>
    <xf numFmtId="0" fontId="6" fillId="0" borderId="0" xfId="4" applyFont="1"/>
    <xf numFmtId="0" fontId="4" fillId="3" borderId="0" xfId="9" quotePrefix="1" applyFont="1" applyFill="1"/>
    <xf numFmtId="0" fontId="4" fillId="3" borderId="0" xfId="13" quotePrefix="1" applyFont="1" applyFill="1"/>
    <xf numFmtId="0" fontId="4" fillId="0" borderId="0" xfId="6" applyFont="1" applyFill="1"/>
    <xf numFmtId="0" fontId="0" fillId="0" borderId="0" xfId="0" applyFill="1"/>
    <xf numFmtId="0" fontId="16" fillId="0" borderId="0" xfId="0" applyFont="1"/>
    <xf numFmtId="0" fontId="0" fillId="0" borderId="0" xfId="0" applyBorder="1"/>
    <xf numFmtId="0" fontId="17" fillId="0" borderId="0" xfId="0" applyFont="1"/>
    <xf numFmtId="43" fontId="4" fillId="0" borderId="2" xfId="1" applyFont="1" applyBorder="1"/>
    <xf numFmtId="40" fontId="18" fillId="0" borderId="0" xfId="0" applyNumberFormat="1" applyFont="1"/>
    <xf numFmtId="0" fontId="19" fillId="0" borderId="0" xfId="0" applyFont="1"/>
    <xf numFmtId="0" fontId="18" fillId="0" borderId="0" xfId="0" applyFont="1"/>
    <xf numFmtId="8" fontId="4" fillId="0" borderId="0" xfId="1" applyNumberFormat="1" applyFont="1"/>
    <xf numFmtId="40" fontId="5" fillId="0" borderId="0" xfId="1" applyNumberFormat="1" applyFont="1" applyBorder="1" applyAlignment="1">
      <alignment horizontal="center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0" fontId="0" fillId="0" borderId="0" xfId="0" applyNumberFormat="1"/>
    <xf numFmtId="40" fontId="17" fillId="0" borderId="0" xfId="0" applyNumberFormat="1" applyFont="1"/>
    <xf numFmtId="43" fontId="5" fillId="0" borderId="0" xfId="1" applyFont="1" applyBorder="1" applyAlignment="1">
      <alignment horizontal="center" wrapText="1"/>
    </xf>
    <xf numFmtId="40" fontId="17" fillId="0" borderId="1" xfId="0" applyNumberFormat="1" applyFont="1" applyBorder="1"/>
    <xf numFmtId="0" fontId="4" fillId="0" borderId="0" xfId="0" applyFont="1" applyBorder="1"/>
    <xf numFmtId="40" fontId="17" fillId="0" borderId="0" xfId="0" applyNumberFormat="1" applyFont="1" applyBorder="1"/>
    <xf numFmtId="0" fontId="0" fillId="0" borderId="1" xfId="0" applyBorder="1"/>
    <xf numFmtId="0" fontId="17" fillId="0" borderId="0" xfId="0" applyFont="1" applyBorder="1"/>
    <xf numFmtId="39" fontId="0" fillId="0" borderId="0" xfId="0" applyNumberFormat="1"/>
    <xf numFmtId="44" fontId="0" fillId="0" borderId="0" xfId="0" applyNumberFormat="1"/>
    <xf numFmtId="0" fontId="4" fillId="0" borderId="0" xfId="6" applyFont="1" applyFill="1" applyBorder="1"/>
    <xf numFmtId="0" fontId="6" fillId="0" borderId="0" xfId="6" applyFont="1" applyFill="1" applyBorder="1"/>
    <xf numFmtId="0" fontId="6" fillId="0" borderId="0" xfId="6" quotePrefix="1" applyFont="1" applyFill="1"/>
    <xf numFmtId="0" fontId="21" fillId="0" borderId="6" xfId="0" applyFont="1" applyBorder="1"/>
    <xf numFmtId="0" fontId="4" fillId="0" borderId="0" xfId="5" quotePrefix="1" applyFont="1" applyFill="1"/>
    <xf numFmtId="14" fontId="3" fillId="0" borderId="0" xfId="11" applyNumberFormat="1" applyFont="1" applyFill="1" applyBorder="1" applyAlignment="1">
      <alignment horizontal="centerContinuous"/>
    </xf>
    <xf numFmtId="0" fontId="3" fillId="0" borderId="0" xfId="11" applyFont="1" applyFill="1" applyBorder="1" applyAlignment="1">
      <alignment horizontal="centerContinuous"/>
    </xf>
    <xf numFmtId="0" fontId="0" fillId="0" borderId="0" xfId="0" applyFill="1" applyBorder="1"/>
    <xf numFmtId="44" fontId="17" fillId="0" borderId="0" xfId="0" applyNumberFormat="1" applyFont="1"/>
    <xf numFmtId="0" fontId="4" fillId="0" borderId="0" xfId="0" applyFont="1" applyFill="1" applyBorder="1"/>
    <xf numFmtId="44" fontId="4" fillId="0" borderId="0" xfId="0" applyNumberFormat="1" applyFont="1"/>
    <xf numFmtId="0" fontId="0" fillId="0" borderId="7" xfId="0" applyBorder="1"/>
    <xf numFmtId="44" fontId="4" fillId="0" borderId="1" xfId="0" applyNumberFormat="1" applyFont="1" applyBorder="1"/>
    <xf numFmtId="0" fontId="25" fillId="0" borderId="0" xfId="0" applyFont="1"/>
    <xf numFmtId="0" fontId="5" fillId="0" borderId="0" xfId="0" applyFont="1" applyFill="1" applyBorder="1"/>
    <xf numFmtId="0" fontId="4" fillId="0" borderId="0" xfId="0" quotePrefix="1" applyFont="1" applyAlignment="1">
      <alignment horizontal="center"/>
    </xf>
    <xf numFmtId="0" fontId="17" fillId="0" borderId="2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2" borderId="0" xfId="0" applyFill="1" applyBorder="1"/>
    <xf numFmtId="0" fontId="18" fillId="0" borderId="8" xfId="0" applyFont="1" applyBorder="1"/>
    <xf numFmtId="0" fontId="0" fillId="0" borderId="5" xfId="0" applyBorder="1"/>
    <xf numFmtId="0" fontId="6" fillId="0" borderId="8" xfId="4" applyFont="1" applyBorder="1"/>
    <xf numFmtId="40" fontId="6" fillId="0" borderId="8" xfId="1" applyNumberFormat="1" applyFont="1" applyBorder="1"/>
    <xf numFmtId="40" fontId="17" fillId="0" borderId="8" xfId="0" applyNumberFormat="1" applyFont="1" applyBorder="1"/>
    <xf numFmtId="40" fontId="18" fillId="0" borderId="8" xfId="0" applyNumberFormat="1" applyFont="1" applyBorder="1"/>
    <xf numFmtId="8" fontId="6" fillId="0" borderId="8" xfId="1" applyNumberFormat="1" applyFont="1" applyBorder="1"/>
    <xf numFmtId="0" fontId="6" fillId="0" borderId="8" xfId="3" quotePrefix="1" applyFont="1" applyBorder="1"/>
    <xf numFmtId="0" fontId="6" fillId="0" borderId="8" xfId="3" applyFont="1" applyBorder="1"/>
    <xf numFmtId="0" fontId="6" fillId="0" borderId="8" xfId="12" applyFont="1" applyBorder="1"/>
    <xf numFmtId="0" fontId="9" fillId="0" borderId="0" xfId="13" applyFont="1" applyFill="1"/>
    <xf numFmtId="0" fontId="6" fillId="0" borderId="1" xfId="5" applyFont="1" applyBorder="1"/>
    <xf numFmtId="40" fontId="0" fillId="0" borderId="1" xfId="0" applyNumberFormat="1" applyBorder="1"/>
    <xf numFmtId="44" fontId="0" fillId="0" borderId="1" xfId="0" applyNumberFormat="1" applyBorder="1"/>
    <xf numFmtId="44" fontId="18" fillId="0" borderId="0" xfId="0" applyNumberFormat="1" applyFont="1"/>
    <xf numFmtId="43" fontId="6" fillId="0" borderId="1" xfId="1" applyFont="1" applyBorder="1" applyAlignment="1">
      <alignment horizontal="center" wrapText="1"/>
    </xf>
    <xf numFmtId="44" fontId="3" fillId="2" borderId="3" xfId="1" applyNumberFormat="1" applyFont="1" applyFill="1" applyBorder="1" applyAlignment="1">
      <alignment horizontal="centerContinuous"/>
    </xf>
    <xf numFmtId="44" fontId="3" fillId="2" borderId="0" xfId="1" applyNumberFormat="1" applyFont="1" applyFill="1" applyBorder="1" applyAlignment="1">
      <alignment horizontal="centerContinuous"/>
    </xf>
    <xf numFmtId="44" fontId="0" fillId="0" borderId="2" xfId="0" applyNumberFormat="1" applyBorder="1"/>
    <xf numFmtId="0" fontId="16" fillId="2" borderId="0" xfId="0" applyFont="1" applyFill="1"/>
    <xf numFmtId="43" fontId="24" fillId="0" borderId="1" xfId="1" applyFont="1" applyBorder="1" applyAlignment="1">
      <alignment horizontal="center" wrapText="1"/>
    </xf>
    <xf numFmtId="0" fontId="6" fillId="0" borderId="0" xfId="12" applyFont="1" applyBorder="1"/>
    <xf numFmtId="43" fontId="4" fillId="0" borderId="0" xfId="1" applyFont="1" applyAlignment="1">
      <alignment horizontal="right"/>
    </xf>
    <xf numFmtId="43" fontId="4" fillId="0" borderId="0" xfId="1" applyFont="1" applyBorder="1" applyAlignment="1">
      <alignment horizontal="right" wrapText="1"/>
    </xf>
    <xf numFmtId="0" fontId="4" fillId="0" borderId="1" xfId="8" quotePrefix="1" applyFont="1" applyBorder="1"/>
    <xf numFmtId="0" fontId="4" fillId="0" borderId="1" xfId="8" applyFont="1" applyBorder="1"/>
    <xf numFmtId="43" fontId="4" fillId="0" borderId="1" xfId="1" applyFont="1" applyBorder="1" applyAlignment="1">
      <alignment horizontal="right"/>
    </xf>
    <xf numFmtId="0" fontId="15" fillId="0" borderId="0" xfId="0" applyFont="1" applyBorder="1"/>
    <xf numFmtId="0" fontId="18" fillId="0" borderId="0" xfId="0" applyFont="1" applyBorder="1"/>
    <xf numFmtId="8" fontId="18" fillId="0" borderId="0" xfId="0" applyNumberFormat="1" applyFont="1" applyBorder="1"/>
    <xf numFmtId="0" fontId="4" fillId="0" borderId="0" xfId="4" quotePrefix="1" applyFont="1" applyBorder="1"/>
    <xf numFmtId="44" fontId="0" fillId="0" borderId="4" xfId="0" applyNumberFormat="1" applyBorder="1"/>
    <xf numFmtId="44" fontId="3" fillId="2" borderId="1" xfId="1" applyNumberFormat="1" applyFont="1" applyFill="1" applyBorder="1" applyAlignment="1">
      <alignment horizontal="centerContinuous"/>
    </xf>
    <xf numFmtId="14" fontId="3" fillId="2" borderId="1" xfId="11" applyNumberFormat="1" applyFont="1" applyFill="1" applyBorder="1" applyAlignment="1">
      <alignment horizontal="left"/>
    </xf>
    <xf numFmtId="0" fontId="3" fillId="2" borderId="1" xfId="13" applyFont="1" applyFill="1" applyBorder="1" applyAlignment="1">
      <alignment horizontal="right"/>
    </xf>
    <xf numFmtId="0" fontId="3" fillId="2" borderId="3" xfId="11" applyFont="1" applyFill="1" applyBorder="1" applyAlignment="1">
      <alignment horizontal="left"/>
    </xf>
    <xf numFmtId="0" fontId="31" fillId="0" borderId="0" xfId="0" applyFont="1"/>
    <xf numFmtId="10" fontId="19" fillId="0" borderId="1" xfId="0" applyNumberFormat="1" applyFont="1" applyBorder="1" applyAlignment="1">
      <alignment horizontal="center" wrapText="1"/>
    </xf>
    <xf numFmtId="10" fontId="0" fillId="0" borderId="0" xfId="0" applyNumberFormat="1"/>
    <xf numFmtId="10" fontId="0" fillId="0" borderId="0" xfId="0" applyNumberFormat="1" applyFill="1" applyBorder="1"/>
    <xf numFmtId="40" fontId="0" fillId="0" borderId="6" xfId="0" applyNumberFormat="1" applyBorder="1"/>
    <xf numFmtId="10" fontId="0" fillId="0" borderId="6" xfId="0" applyNumberFormat="1" applyBorder="1"/>
    <xf numFmtId="0" fontId="17" fillId="0" borderId="15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32" fillId="0" borderId="0" xfId="0" applyFont="1" applyAlignment="1">
      <alignment horizontal="left"/>
    </xf>
    <xf numFmtId="0" fontId="33" fillId="0" borderId="0" xfId="0" applyFont="1"/>
    <xf numFmtId="0" fontId="0" fillId="0" borderId="17" xfId="0" applyBorder="1"/>
    <xf numFmtId="0" fontId="18" fillId="0" borderId="17" xfId="0" applyFont="1" applyBorder="1"/>
    <xf numFmtId="14" fontId="3" fillId="2" borderId="0" xfId="11" applyNumberFormat="1" applyFont="1" applyFill="1" applyBorder="1" applyAlignment="1">
      <alignment horizontal="centerContinuous"/>
    </xf>
    <xf numFmtId="40" fontId="0" fillId="0" borderId="0" xfId="0" applyNumberFormat="1" applyBorder="1"/>
    <xf numFmtId="0" fontId="28" fillId="0" borderId="17" xfId="0" applyFont="1" applyBorder="1"/>
    <xf numFmtId="44" fontId="28" fillId="0" borderId="17" xfId="0" applyNumberFormat="1" applyFont="1" applyBorder="1"/>
    <xf numFmtId="10" fontId="28" fillId="0" borderId="17" xfId="0" applyNumberFormat="1" applyFont="1" applyBorder="1"/>
    <xf numFmtId="40" fontId="28" fillId="0" borderId="17" xfId="0" applyNumberFormat="1" applyFont="1" applyBorder="1"/>
    <xf numFmtId="10" fontId="54" fillId="0" borderId="17" xfId="0" applyNumberFormat="1" applyFont="1" applyBorder="1"/>
    <xf numFmtId="0" fontId="22" fillId="0" borderId="17" xfId="2" applyFont="1" applyBorder="1"/>
    <xf numFmtId="0" fontId="34" fillId="0" borderId="17" xfId="2" applyFont="1" applyBorder="1"/>
    <xf numFmtId="43" fontId="22" fillId="0" borderId="17" xfId="2" applyNumberFormat="1" applyFont="1" applyBorder="1"/>
    <xf numFmtId="0" fontId="0" fillId="0" borderId="0" xfId="0" applyFont="1" applyFill="1"/>
    <xf numFmtId="10" fontId="3" fillId="2" borderId="0" xfId="1" applyNumberFormat="1" applyFont="1" applyFill="1" applyBorder="1" applyAlignment="1">
      <alignment horizontal="centerContinuous"/>
    </xf>
    <xf numFmtId="10" fontId="3" fillId="2" borderId="1" xfId="1" applyNumberFormat="1" applyFont="1" applyFill="1" applyBorder="1" applyAlignment="1">
      <alignment horizontal="centerContinuous"/>
    </xf>
    <xf numFmtId="0" fontId="51" fillId="0" borderId="0" xfId="0" applyFont="1"/>
    <xf numFmtId="0" fontId="6" fillId="0" borderId="8" xfId="8" applyFont="1" applyBorder="1"/>
    <xf numFmtId="10" fontId="3" fillId="2" borderId="0" xfId="10" applyNumberFormat="1" applyFont="1" applyFill="1" applyBorder="1" applyAlignment="1">
      <alignment horizontal="centerContinuous"/>
    </xf>
    <xf numFmtId="10" fontId="3" fillId="2" borderId="3" xfId="10" applyNumberFormat="1" applyFont="1" applyFill="1" applyBorder="1" applyAlignment="1">
      <alignment horizontal="centerContinuous"/>
    </xf>
    <xf numFmtId="10" fontId="3" fillId="2" borderId="3" xfId="1" applyNumberFormat="1" applyFont="1" applyFill="1" applyBorder="1" applyAlignment="1">
      <alignment horizontal="centerContinuous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4" fillId="0" borderId="0" xfId="0" quotePrefix="1" applyFont="1"/>
    <xf numFmtId="10" fontId="0" fillId="0" borderId="2" xfId="0" applyNumberFormat="1" applyBorder="1"/>
    <xf numFmtId="0" fontId="0" fillId="0" borderId="2" xfId="0" applyFill="1" applyBorder="1"/>
    <xf numFmtId="14" fontId="3" fillId="2" borderId="3" xfId="11" applyNumberFormat="1" applyFont="1" applyFill="1" applyBorder="1" applyAlignment="1">
      <alignment horizontal="centerContinuous"/>
    </xf>
    <xf numFmtId="0" fontId="0" fillId="0" borderId="3" xfId="0" applyBorder="1"/>
    <xf numFmtId="40" fontId="0" fillId="2" borderId="3" xfId="0" applyNumberFormat="1" applyFill="1" applyBorder="1"/>
    <xf numFmtId="40" fontId="0" fillId="2" borderId="1" xfId="0" applyNumberFormat="1" applyFill="1" applyBorder="1"/>
    <xf numFmtId="40" fontId="0" fillId="0" borderId="2" xfId="0" applyNumberFormat="1" applyBorder="1"/>
    <xf numFmtId="40" fontId="0" fillId="2" borderId="0" xfId="0" applyNumberFormat="1" applyFill="1" applyBorder="1"/>
    <xf numFmtId="40" fontId="3" fillId="2" borderId="0" xfId="11" applyNumberFormat="1" applyFont="1" applyFill="1" applyBorder="1" applyAlignment="1">
      <alignment horizontal="centerContinuous"/>
    </xf>
    <xf numFmtId="40" fontId="0" fillId="0" borderId="2" xfId="0" applyNumberFormat="1" applyFill="1" applyBorder="1"/>
    <xf numFmtId="40" fontId="3" fillId="2" borderId="1" xfId="11" applyNumberFormat="1" applyFont="1" applyFill="1" applyBorder="1" applyAlignment="1">
      <alignment horizontal="centerContinuous"/>
    </xf>
    <xf numFmtId="0" fontId="0" fillId="0" borderId="19" xfId="0" applyBorder="1"/>
    <xf numFmtId="40" fontId="0" fillId="0" borderId="5" xfId="0" applyNumberFormat="1" applyBorder="1"/>
    <xf numFmtId="44" fontId="5" fillId="0" borderId="19" xfId="1" applyNumberFormat="1" applyFont="1" applyFill="1" applyBorder="1" applyAlignment="1">
      <alignment horizontal="center" wrapText="1"/>
    </xf>
    <xf numFmtId="40" fontId="0" fillId="0" borderId="7" xfId="0" applyNumberFormat="1" applyBorder="1"/>
    <xf numFmtId="40" fontId="17" fillId="0" borderId="2" xfId="0" applyNumberFormat="1" applyFont="1" applyBorder="1"/>
    <xf numFmtId="40" fontId="50" fillId="0" borderId="2" xfId="0" applyNumberFormat="1" applyFont="1" applyBorder="1"/>
    <xf numFmtId="43" fontId="6" fillId="0" borderId="19" xfId="1" applyFont="1" applyBorder="1" applyAlignment="1">
      <alignment horizontal="center" wrapText="1"/>
    </xf>
    <xf numFmtId="0" fontId="3" fillId="2" borderId="0" xfId="11" applyFont="1" applyFill="1" applyBorder="1" applyAlignment="1">
      <alignment horizontal="left" vertical="top"/>
    </xf>
    <xf numFmtId="0" fontId="3" fillId="2" borderId="3" xfId="11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2" borderId="0" xfId="11" applyFont="1" applyFill="1" applyBorder="1" applyAlignment="1">
      <alignment horizontal="center" vertical="top"/>
    </xf>
    <xf numFmtId="4" fontId="0" fillId="2" borderId="3" xfId="0" applyNumberFormat="1" applyFill="1" applyBorder="1"/>
    <xf numFmtId="4" fontId="0" fillId="2" borderId="0" xfId="0" applyNumberFormat="1" applyFill="1" applyBorder="1"/>
    <xf numFmtId="4" fontId="0" fillId="2" borderId="1" xfId="0" applyNumberFormat="1" applyFill="1" applyBorder="1"/>
    <xf numFmtId="4" fontId="0" fillId="0" borderId="0" xfId="0" applyNumberFormat="1"/>
    <xf numFmtId="0" fontId="3" fillId="2" borderId="1" xfId="13" applyFont="1" applyFill="1" applyBorder="1" applyAlignment="1">
      <alignment horizontal="left" vertical="center"/>
    </xf>
    <xf numFmtId="10" fontId="53" fillId="0" borderId="23" xfId="0" applyNumberFormat="1" applyFont="1" applyBorder="1"/>
    <xf numFmtId="0" fontId="3" fillId="2" borderId="3" xfId="12" applyFont="1" applyFill="1" applyBorder="1" applyAlignment="1">
      <alignment horizontal="left" vertical="top"/>
    </xf>
    <xf numFmtId="0" fontId="0" fillId="0" borderId="23" xfId="0" applyBorder="1"/>
    <xf numFmtId="0" fontId="3" fillId="2" borderId="18" xfId="12" applyFont="1" applyFill="1" applyBorder="1" applyAlignment="1">
      <alignment horizontal="centerContinuous"/>
    </xf>
    <xf numFmtId="10" fontId="3" fillId="2" borderId="18" xfId="1" applyNumberFormat="1" applyFont="1" applyFill="1" applyBorder="1" applyAlignment="1">
      <alignment horizontal="centerContinuous"/>
    </xf>
    <xf numFmtId="8" fontId="17" fillId="0" borderId="2" xfId="0" applyNumberFormat="1" applyFont="1" applyBorder="1"/>
    <xf numFmtId="0" fontId="0" fillId="2" borderId="3" xfId="0" applyFill="1" applyBorder="1"/>
    <xf numFmtId="10" fontId="3" fillId="2" borderId="3" xfId="12" applyNumberFormat="1" applyFont="1" applyFill="1" applyBorder="1" applyAlignment="1">
      <alignment horizontal="centerContinuous"/>
    </xf>
    <xf numFmtId="43" fontId="4" fillId="0" borderId="2" xfId="1" applyFont="1" applyBorder="1" applyAlignment="1"/>
    <xf numFmtId="40" fontId="4" fillId="0" borderId="2" xfId="1" applyNumberFormat="1" applyFont="1" applyBorder="1" applyAlignment="1"/>
    <xf numFmtId="40" fontId="6" fillId="0" borderId="23" xfId="1" applyNumberFormat="1" applyFont="1" applyBorder="1" applyAlignment="1"/>
    <xf numFmtId="40" fontId="6" fillId="0" borderId="23" xfId="1" applyNumberFormat="1" applyFont="1" applyBorder="1"/>
    <xf numFmtId="40" fontId="18" fillId="0" borderId="23" xfId="0" applyNumberFormat="1" applyFont="1" applyBorder="1"/>
    <xf numFmtId="0" fontId="0" fillId="0" borderId="22" xfId="0" applyBorder="1"/>
    <xf numFmtId="44" fontId="6" fillId="0" borderId="19" xfId="1" applyNumberFormat="1" applyFont="1" applyBorder="1" applyAlignment="1">
      <alignment horizontal="center" wrapText="1"/>
    </xf>
    <xf numFmtId="44" fontId="18" fillId="0" borderId="19" xfId="0" applyNumberFormat="1" applyFont="1" applyBorder="1"/>
    <xf numFmtId="0" fontId="60" fillId="2" borderId="0" xfId="0" applyFont="1" applyFill="1"/>
    <xf numFmtId="22" fontId="60" fillId="2" borderId="0" xfId="0" applyNumberFormat="1" applyFont="1" applyFill="1"/>
    <xf numFmtId="44" fontId="60" fillId="2" borderId="0" xfId="0" applyNumberFormat="1" applyFont="1" applyFill="1"/>
    <xf numFmtId="8" fontId="60" fillId="0" borderId="0" xfId="0" applyNumberFormat="1" applyFont="1"/>
    <xf numFmtId="0" fontId="36" fillId="2" borderId="0" xfId="7" applyFont="1" applyFill="1" applyAlignment="1">
      <alignment horizontal="center"/>
    </xf>
    <xf numFmtId="0" fontId="60" fillId="0" borderId="0" xfId="0" applyFont="1"/>
    <xf numFmtId="0" fontId="38" fillId="0" borderId="0" xfId="0" applyFont="1"/>
    <xf numFmtId="44" fontId="38" fillId="0" borderId="0" xfId="0" applyNumberFormat="1" applyFont="1"/>
    <xf numFmtId="44" fontId="60" fillId="0" borderId="0" xfId="0" applyNumberFormat="1" applyFont="1"/>
    <xf numFmtId="10" fontId="60" fillId="0" borderId="0" xfId="0" applyNumberFormat="1" applyFont="1"/>
    <xf numFmtId="0" fontId="41" fillId="0" borderId="0" xfId="0" applyFont="1"/>
    <xf numFmtId="0" fontId="41" fillId="0" borderId="8" xfId="0" applyFont="1" applyBorder="1"/>
    <xf numFmtId="44" fontId="41" fillId="0" borderId="8" xfId="0" applyNumberFormat="1" applyFont="1" applyBorder="1"/>
    <xf numFmtId="8" fontId="41" fillId="0" borderId="0" xfId="0" applyNumberFormat="1" applyFont="1"/>
    <xf numFmtId="44" fontId="42" fillId="0" borderId="8" xfId="0" applyNumberFormat="1" applyFont="1" applyBorder="1"/>
    <xf numFmtId="0" fontId="43" fillId="0" borderId="0" xfId="7" applyFont="1"/>
    <xf numFmtId="0" fontId="43" fillId="0" borderId="0" xfId="7" quotePrefix="1" applyFont="1"/>
    <xf numFmtId="0" fontId="60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44" fontId="38" fillId="0" borderId="0" xfId="1" applyNumberFormat="1" applyFont="1" applyBorder="1"/>
    <xf numFmtId="44" fontId="38" fillId="0" borderId="0" xfId="0" applyNumberFormat="1" applyFont="1" applyBorder="1"/>
    <xf numFmtId="8" fontId="38" fillId="0" borderId="0" xfId="0" applyNumberFormat="1" applyFont="1" applyBorder="1"/>
    <xf numFmtId="10" fontId="60" fillId="0" borderId="0" xfId="0" applyNumberFormat="1" applyFont="1" applyBorder="1"/>
    <xf numFmtId="0" fontId="41" fillId="0" borderId="0" xfId="0" applyFont="1" applyBorder="1"/>
    <xf numFmtId="44" fontId="60" fillId="0" borderId="0" xfId="0" applyNumberFormat="1" applyFont="1" applyBorder="1"/>
    <xf numFmtId="8" fontId="60" fillId="0" borderId="0" xfId="0" applyNumberFormat="1" applyFont="1" applyBorder="1"/>
    <xf numFmtId="0" fontId="38" fillId="0" borderId="8" xfId="0" applyFont="1" applyBorder="1"/>
    <xf numFmtId="0" fontId="60" fillId="0" borderId="8" xfId="0" applyFont="1" applyBorder="1"/>
    <xf numFmtId="8" fontId="41" fillId="0" borderId="8" xfId="0" applyNumberFormat="1" applyFont="1" applyBorder="1"/>
    <xf numFmtId="10" fontId="60" fillId="0" borderId="8" xfId="0" applyNumberFormat="1" applyFont="1" applyBorder="1"/>
    <xf numFmtId="0" fontId="60" fillId="0" borderId="0" xfId="0" applyFont="1" applyFill="1"/>
    <xf numFmtId="44" fontId="60" fillId="0" borderId="0" xfId="0" applyNumberFormat="1" applyFont="1" applyFill="1"/>
    <xf numFmtId="8" fontId="60" fillId="0" borderId="0" xfId="0" applyNumberFormat="1" applyFont="1" applyFill="1"/>
    <xf numFmtId="10" fontId="60" fillId="0" borderId="0" xfId="0" applyNumberFormat="1" applyFont="1" applyFill="1"/>
    <xf numFmtId="0" fontId="4" fillId="0" borderId="2" xfId="11" applyFont="1" applyFill="1" applyBorder="1"/>
    <xf numFmtId="0" fontId="4" fillId="0" borderId="2" xfId="9" applyFont="1" applyFill="1" applyBorder="1"/>
    <xf numFmtId="0" fontId="4" fillId="0" borderId="2" xfId="5" applyFont="1" applyFill="1" applyBorder="1"/>
    <xf numFmtId="0" fontId="3" fillId="0" borderId="19" xfId="13" quotePrefix="1" applyFont="1" applyBorder="1"/>
    <xf numFmtId="0" fontId="3" fillId="0" borderId="19" xfId="13" applyFont="1" applyBorder="1"/>
    <xf numFmtId="40" fontId="3" fillId="2" borderId="0" xfId="1" applyNumberFormat="1" applyFont="1" applyFill="1" applyBorder="1" applyAlignment="1">
      <alignment horizontal="left" vertical="top"/>
    </xf>
    <xf numFmtId="0" fontId="3" fillId="2" borderId="0" xfId="10" applyFont="1" applyFill="1" applyBorder="1" applyAlignment="1">
      <alignment horizontal="left"/>
    </xf>
    <xf numFmtId="0" fontId="3" fillId="2" borderId="0" xfId="11" applyFont="1" applyFill="1" applyBorder="1" applyAlignment="1">
      <alignment horizontal="left"/>
    </xf>
    <xf numFmtId="0" fontId="3" fillId="2" borderId="3" xfId="8" applyFont="1" applyFill="1" applyBorder="1" applyAlignment="1">
      <alignment horizontal="left"/>
    </xf>
    <xf numFmtId="0" fontId="3" fillId="2" borderId="3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left"/>
    </xf>
    <xf numFmtId="0" fontId="48" fillId="2" borderId="0" xfId="7" applyFont="1" applyFill="1" applyAlignment="1">
      <alignment horizontal="center"/>
    </xf>
    <xf numFmtId="0" fontId="62" fillId="0" borderId="0" xfId="0" applyFont="1"/>
    <xf numFmtId="0" fontId="16" fillId="0" borderId="0" xfId="0" applyFont="1" applyFill="1"/>
    <xf numFmtId="0" fontId="17" fillId="0" borderId="2" xfId="0" applyFont="1" applyFill="1" applyBorder="1"/>
    <xf numFmtId="0" fontId="18" fillId="0" borderId="19" xfId="0" applyFont="1" applyBorder="1"/>
    <xf numFmtId="0" fontId="31" fillId="0" borderId="19" xfId="0" applyFont="1" applyBorder="1"/>
    <xf numFmtId="0" fontId="4" fillId="0" borderId="26" xfId="5" quotePrefix="1" applyFont="1" applyBorder="1"/>
    <xf numFmtId="0" fontId="4" fillId="0" borderId="26" xfId="5" quotePrefix="1" applyFont="1" applyFill="1" applyBorder="1"/>
    <xf numFmtId="0" fontId="4" fillId="0" borderId="26" xfId="5" quotePrefix="1" applyFont="1" applyFill="1" applyBorder="1" applyAlignment="1">
      <alignment horizontal="left"/>
    </xf>
    <xf numFmtId="0" fontId="17" fillId="0" borderId="7" xfId="0" applyFont="1" applyFill="1" applyBorder="1"/>
    <xf numFmtId="0" fontId="3" fillId="2" borderId="0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left"/>
    </xf>
    <xf numFmtId="0" fontId="3" fillId="2" borderId="0" xfId="11" applyFont="1" applyFill="1" applyBorder="1" applyAlignment="1">
      <alignment horizontal="center"/>
    </xf>
    <xf numFmtId="0" fontId="3" fillId="2" borderId="3" xfId="11" applyFont="1" applyFill="1" applyBorder="1" applyAlignment="1">
      <alignment horizontal="center" vertical="top"/>
    </xf>
    <xf numFmtId="0" fontId="3" fillId="2" borderId="3" xfId="11" applyFont="1" applyFill="1" applyBorder="1" applyAlignment="1">
      <alignment horizontal="center"/>
    </xf>
    <xf numFmtId="0" fontId="4" fillId="0" borderId="24" xfId="11" quotePrefix="1" applyFont="1" applyBorder="1"/>
    <xf numFmtId="0" fontId="4" fillId="0" borderId="26" xfId="11" quotePrefix="1" applyFont="1" applyBorder="1"/>
    <xf numFmtId="0" fontId="4" fillId="0" borderId="26" xfId="11" quotePrefix="1" applyFont="1" applyFill="1" applyBorder="1"/>
    <xf numFmtId="0" fontId="4" fillId="0" borderId="28" xfId="11" quotePrefix="1" applyFont="1" applyBorder="1"/>
    <xf numFmtId="0" fontId="3" fillId="2" borderId="0" xfId="11" applyFont="1" applyFill="1" applyBorder="1" applyAlignment="1">
      <alignment horizontal="right"/>
    </xf>
    <xf numFmtId="0" fontId="17" fillId="0" borderId="24" xfId="0" quotePrefix="1" applyFont="1" applyFill="1" applyBorder="1"/>
    <xf numFmtId="0" fontId="17" fillId="0" borderId="21" xfId="0" applyFont="1" applyFill="1" applyBorder="1"/>
    <xf numFmtId="0" fontId="4" fillId="0" borderId="26" xfId="6" quotePrefix="1" applyFont="1" applyFill="1" applyBorder="1"/>
    <xf numFmtId="0" fontId="4" fillId="0" borderId="2" xfId="6" applyFont="1" applyFill="1" applyBorder="1"/>
    <xf numFmtId="0" fontId="4" fillId="0" borderId="2" xfId="9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4" fillId="0" borderId="24" xfId="0" applyFont="1" applyBorder="1" applyAlignment="1">
      <alignment horizontal="center"/>
    </xf>
    <xf numFmtId="0" fontId="4" fillId="0" borderId="21" xfId="0" applyFont="1" applyBorder="1"/>
    <xf numFmtId="0" fontId="4" fillId="0" borderId="2" xfId="0" applyFont="1" applyFill="1" applyBorder="1"/>
    <xf numFmtId="40" fontId="0" fillId="0" borderId="27" xfId="0" applyNumberFormat="1" applyFill="1" applyBorder="1"/>
    <xf numFmtId="0" fontId="4" fillId="0" borderId="26" xfId="0" applyFont="1" applyBorder="1" applyAlignment="1">
      <alignment horizontal="center"/>
    </xf>
    <xf numFmtId="0" fontId="4" fillId="0" borderId="2" xfId="0" applyFont="1" applyBorder="1"/>
    <xf numFmtId="40" fontId="0" fillId="0" borderId="27" xfId="0" applyNumberFormat="1" applyBorder="1"/>
    <xf numFmtId="0" fontId="4" fillId="0" borderId="28" xfId="0" applyFont="1" applyBorder="1" applyAlignment="1">
      <alignment horizontal="center"/>
    </xf>
    <xf numFmtId="0" fontId="4" fillId="0" borderId="7" xfId="0" applyFont="1" applyBorder="1"/>
    <xf numFmtId="40" fontId="0" fillId="0" borderId="29" xfId="0" applyNumberFormat="1" applyBorder="1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 applyFill="1"/>
    <xf numFmtId="44" fontId="2" fillId="0" borderId="6" xfId="0" applyNumberFormat="1" applyFont="1" applyFill="1" applyBorder="1"/>
    <xf numFmtId="0" fontId="6" fillId="0" borderId="0" xfId="0" applyFont="1" applyFill="1" applyBorder="1"/>
    <xf numFmtId="40" fontId="31" fillId="0" borderId="0" xfId="0" applyNumberFormat="1" applyFont="1"/>
    <xf numFmtId="0" fontId="6" fillId="0" borderId="0" xfId="0" applyFont="1"/>
    <xf numFmtId="44" fontId="31" fillId="0" borderId="0" xfId="0" applyNumberFormat="1" applyFont="1"/>
    <xf numFmtId="44" fontId="31" fillId="0" borderId="6" xfId="0" applyNumberFormat="1" applyFont="1" applyBorder="1"/>
    <xf numFmtId="44" fontId="2" fillId="0" borderId="0" xfId="0" applyNumberFormat="1" applyFont="1" applyFill="1" applyBorder="1"/>
    <xf numFmtId="0" fontId="63" fillId="0" borderId="0" xfId="0" applyFont="1"/>
    <xf numFmtId="0" fontId="2" fillId="0" borderId="0" xfId="11" quotePrefix="1" applyFont="1" applyAlignment="1">
      <alignment horizontal="center"/>
    </xf>
    <xf numFmtId="0" fontId="2" fillId="0" borderId="0" xfId="11" applyFont="1"/>
    <xf numFmtId="0" fontId="63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3" fontId="5" fillId="0" borderId="19" xfId="1" applyFont="1" applyBorder="1" applyAlignment="1">
      <alignment horizontal="center" wrapText="1"/>
    </xf>
    <xf numFmtId="10" fontId="6" fillId="0" borderId="19" xfId="1" applyNumberFormat="1" applyFont="1" applyBorder="1" applyAlignment="1">
      <alignment horizontal="center" wrapText="1"/>
    </xf>
    <xf numFmtId="40" fontId="5" fillId="0" borderId="19" xfId="1" applyNumberFormat="1" applyFont="1" applyBorder="1" applyAlignment="1">
      <alignment horizontal="center" wrapText="1"/>
    </xf>
    <xf numFmtId="40" fontId="0" fillId="0" borderId="21" xfId="0" applyNumberFormat="1" applyBorder="1"/>
    <xf numFmtId="0" fontId="0" fillId="0" borderId="21" xfId="0" applyBorder="1"/>
    <xf numFmtId="40" fontId="0" fillId="0" borderId="7" xfId="0" applyNumberFormat="1" applyFill="1" applyBorder="1"/>
    <xf numFmtId="0" fontId="6" fillId="0" borderId="19" xfId="5" applyFont="1" applyBorder="1"/>
    <xf numFmtId="44" fontId="5" fillId="0" borderId="22" xfId="1" applyNumberFormat="1" applyFont="1" applyFill="1" applyBorder="1" applyAlignment="1">
      <alignment horizontal="center" wrapText="1"/>
    </xf>
    <xf numFmtId="0" fontId="4" fillId="0" borderId="26" xfId="11" quotePrefix="1" applyFont="1" applyBorder="1" applyAlignment="1">
      <alignment horizontal="left"/>
    </xf>
    <xf numFmtId="40" fontId="0" fillId="0" borderId="24" xfId="0" applyNumberFormat="1" applyBorder="1"/>
    <xf numFmtId="40" fontId="0" fillId="0" borderId="26" xfId="0" applyNumberFormat="1" applyBorder="1"/>
    <xf numFmtId="40" fontId="0" fillId="0" borderId="28" xfId="0" applyNumberFormat="1" applyBorder="1"/>
    <xf numFmtId="40" fontId="0" fillId="0" borderId="9" xfId="0" applyNumberFormat="1" applyBorder="1"/>
    <xf numFmtId="40" fontId="6" fillId="0" borderId="34" xfId="1" applyNumberFormat="1" applyFont="1" applyFill="1" applyBorder="1"/>
    <xf numFmtId="40" fontId="0" fillId="0" borderId="21" xfId="0" applyNumberFormat="1" applyFill="1" applyBorder="1"/>
    <xf numFmtId="40" fontId="0" fillId="0" borderId="13" xfId="0" applyNumberFormat="1" applyBorder="1"/>
    <xf numFmtId="0" fontId="16" fillId="0" borderId="19" xfId="0" applyFont="1" applyBorder="1"/>
    <xf numFmtId="0" fontId="19" fillId="0" borderId="19" xfId="0" applyFont="1" applyBorder="1"/>
    <xf numFmtId="0" fontId="4" fillId="0" borderId="25" xfId="0" applyFont="1" applyFill="1" applyBorder="1"/>
    <xf numFmtId="0" fontId="4" fillId="0" borderId="27" xfId="0" applyFont="1" applyBorder="1"/>
    <xf numFmtId="0" fontId="4" fillId="0" borderId="27" xfId="5" applyFont="1" applyBorder="1"/>
    <xf numFmtId="0" fontId="4" fillId="0" borderId="27" xfId="0" applyFont="1" applyFill="1" applyBorder="1"/>
    <xf numFmtId="40" fontId="0" fillId="0" borderId="36" xfId="0" applyNumberFormat="1" applyBorder="1"/>
    <xf numFmtId="40" fontId="3" fillId="2" borderId="0" xfId="1" quotePrefix="1" applyNumberFormat="1" applyFont="1" applyFill="1" applyBorder="1" applyAlignment="1">
      <alignment horizontal="centerContinuous"/>
    </xf>
    <xf numFmtId="40" fontId="3" fillId="2" borderId="1" xfId="1" quotePrefix="1" applyNumberFormat="1" applyFont="1" applyFill="1" applyBorder="1" applyAlignment="1">
      <alignment horizontal="centerContinuous"/>
    </xf>
    <xf numFmtId="40" fontId="6" fillId="0" borderId="19" xfId="1" applyNumberFormat="1" applyFont="1" applyBorder="1" applyAlignment="1">
      <alignment horizontal="center" wrapText="1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0" fontId="3" fillId="2" borderId="0" xfId="11" applyNumberFormat="1" applyFont="1" applyFill="1" applyBorder="1" applyAlignment="1">
      <alignment horizontal="left"/>
    </xf>
    <xf numFmtId="40" fontId="2" fillId="0" borderId="6" xfId="0" applyNumberFormat="1" applyFont="1" applyBorder="1"/>
    <xf numFmtId="14" fontId="6" fillId="0" borderId="19" xfId="11" applyNumberFormat="1" applyFont="1" applyFill="1" applyBorder="1" applyAlignment="1">
      <alignment horizontal="centerContinuous"/>
    </xf>
    <xf numFmtId="0" fontId="6" fillId="0" borderId="19" xfId="11" applyFont="1" applyFill="1" applyBorder="1" applyAlignment="1">
      <alignment horizontal="centerContinuous"/>
    </xf>
    <xf numFmtId="40" fontId="63" fillId="0" borderId="0" xfId="0" applyNumberFormat="1" applyFont="1"/>
    <xf numFmtId="0" fontId="64" fillId="0" borderId="21" xfId="0" applyFont="1" applyBorder="1"/>
    <xf numFmtId="0" fontId="2" fillId="0" borderId="26" xfId="0" applyFont="1" applyBorder="1" applyAlignment="1">
      <alignment horizontal="center"/>
    </xf>
    <xf numFmtId="0" fontId="2" fillId="0" borderId="2" xfId="0" applyFont="1" applyBorder="1"/>
    <xf numFmtId="0" fontId="2" fillId="0" borderId="26" xfId="0" quotePrefix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7" xfId="0" applyFont="1" applyBorder="1"/>
    <xf numFmtId="0" fontId="6" fillId="0" borderId="19" xfId="0" applyFont="1" applyBorder="1"/>
    <xf numFmtId="40" fontId="63" fillId="0" borderId="6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21" xfId="0" applyFont="1" applyBorder="1"/>
    <xf numFmtId="0" fontId="65" fillId="2" borderId="0" xfId="0" applyFont="1" applyFill="1" applyAlignment="1">
      <alignment horizontal="center"/>
    </xf>
    <xf numFmtId="0" fontId="66" fillId="0" borderId="6" xfId="0" applyFont="1" applyBorder="1"/>
    <xf numFmtId="0" fontId="29" fillId="0" borderId="6" xfId="0" applyFont="1" applyBorder="1"/>
    <xf numFmtId="0" fontId="59" fillId="0" borderId="0" xfId="0" applyFont="1"/>
    <xf numFmtId="40" fontId="0" fillId="0" borderId="40" xfId="0" applyNumberFormat="1" applyBorder="1"/>
    <xf numFmtId="40" fontId="0" fillId="0" borderId="41" xfId="0" applyNumberFormat="1" applyBorder="1"/>
    <xf numFmtId="10" fontId="0" fillId="0" borderId="0" xfId="0" applyNumberFormat="1" applyFont="1"/>
    <xf numFmtId="14" fontId="24" fillId="0" borderId="22" xfId="11" applyNumberFormat="1" applyFont="1" applyFill="1" applyBorder="1" applyAlignment="1">
      <alignment horizontal="centerContinuous"/>
    </xf>
    <xf numFmtId="0" fontId="24" fillId="0" borderId="11" xfId="11" applyFont="1" applyFill="1" applyBorder="1" applyAlignment="1">
      <alignment horizontal="centerContinuous"/>
    </xf>
    <xf numFmtId="0" fontId="2" fillId="0" borderId="6" xfId="0" applyNumberFormat="1" applyFont="1" applyBorder="1" applyAlignment="1">
      <alignment horizontal="center"/>
    </xf>
    <xf numFmtId="0" fontId="51" fillId="0" borderId="19" xfId="0" applyFont="1" applyBorder="1"/>
    <xf numFmtId="0" fontId="22" fillId="0" borderId="0" xfId="0" applyFont="1" applyFill="1" applyBorder="1"/>
    <xf numFmtId="0" fontId="6" fillId="2" borderId="0" xfId="11" applyFont="1" applyFill="1" applyBorder="1" applyAlignment="1">
      <alignment horizontal="centerContinuous"/>
    </xf>
    <xf numFmtId="14" fontId="6" fillId="2" borderId="1" xfId="11" applyNumberFormat="1" applyFont="1" applyFill="1" applyBorder="1" applyAlignment="1">
      <alignment horizontal="centerContinuous"/>
    </xf>
    <xf numFmtId="0" fontId="64" fillId="0" borderId="24" xfId="0" applyFont="1" applyBorder="1" applyAlignment="1">
      <alignment horizontal="center"/>
    </xf>
    <xf numFmtId="40" fontId="63" fillId="0" borderId="2" xfId="0" applyNumberFormat="1" applyFont="1" applyBorder="1"/>
    <xf numFmtId="0" fontId="4" fillId="0" borderId="24" xfId="2" applyFont="1" applyBorder="1"/>
    <xf numFmtId="0" fontId="4" fillId="0" borderId="21" xfId="2" applyFont="1" applyBorder="1"/>
    <xf numFmtId="0" fontId="4" fillId="0" borderId="26" xfId="2" quotePrefix="1" applyFont="1" applyBorder="1"/>
    <xf numFmtId="0" fontId="4" fillId="0" borderId="26" xfId="2" applyFont="1" applyBorder="1"/>
    <xf numFmtId="0" fontId="8" fillId="0" borderId="28" xfId="2" applyFont="1" applyBorder="1"/>
    <xf numFmtId="0" fontId="4" fillId="0" borderId="7" xfId="2" applyFont="1" applyBorder="1"/>
    <xf numFmtId="0" fontId="22" fillId="0" borderId="42" xfId="2" applyFont="1" applyBorder="1"/>
    <xf numFmtId="0" fontId="22" fillId="0" borderId="6" xfId="2" applyFont="1" applyBorder="1"/>
    <xf numFmtId="0" fontId="3" fillId="2" borderId="3" xfId="13" applyFont="1" applyFill="1" applyBorder="1" applyAlignment="1">
      <alignment horizontal="left"/>
    </xf>
    <xf numFmtId="0" fontId="3" fillId="2" borderId="0" xfId="13" applyFont="1" applyFill="1" applyBorder="1" applyAlignment="1">
      <alignment horizontal="right"/>
    </xf>
    <xf numFmtId="44" fontId="13" fillId="0" borderId="17" xfId="0" applyNumberFormat="1" applyFont="1" applyBorder="1"/>
    <xf numFmtId="40" fontId="13" fillId="0" borderId="17" xfId="0" applyNumberFormat="1" applyFont="1" applyBorder="1"/>
    <xf numFmtId="0" fontId="4" fillId="0" borderId="26" xfId="11" quotePrefix="1" applyFont="1" applyFill="1" applyBorder="1" applyAlignment="1">
      <alignment horizontal="left"/>
    </xf>
    <xf numFmtId="40" fontId="0" fillId="0" borderId="9" xfId="0" applyNumberFormat="1" applyFill="1" applyBorder="1"/>
    <xf numFmtId="0" fontId="4" fillId="0" borderId="26" xfId="6" quotePrefix="1" applyFont="1" applyFill="1" applyBorder="1" applyAlignment="1">
      <alignment horizontal="left"/>
    </xf>
    <xf numFmtId="10" fontId="18" fillId="0" borderId="0" xfId="0" applyNumberFormat="1" applyFont="1"/>
    <xf numFmtId="40" fontId="0" fillId="0" borderId="2" xfId="0" applyNumberFormat="1" applyFont="1" applyFill="1" applyBorder="1"/>
    <xf numFmtId="0" fontId="4" fillId="0" borderId="26" xfId="2" applyFont="1" applyBorder="1" applyAlignment="1">
      <alignment horizontal="left"/>
    </xf>
    <xf numFmtId="0" fontId="4" fillId="0" borderId="26" xfId="2" quotePrefix="1" applyFont="1" applyBorder="1" applyAlignment="1">
      <alignment horizontal="left"/>
    </xf>
    <xf numFmtId="0" fontId="29" fillId="2" borderId="0" xfId="0" applyFont="1" applyFill="1" applyAlignment="1">
      <alignment horizontal="center"/>
    </xf>
    <xf numFmtId="0" fontId="17" fillId="0" borderId="7" xfId="0" applyFont="1" applyBorder="1"/>
    <xf numFmtId="0" fontId="35" fillId="0" borderId="2" xfId="0" applyFont="1" applyBorder="1"/>
    <xf numFmtId="0" fontId="41" fillId="0" borderId="0" xfId="0" applyFont="1" applyFill="1" applyBorder="1"/>
    <xf numFmtId="44" fontId="41" fillId="0" borderId="0" xfId="0" applyNumberFormat="1" applyFont="1" applyBorder="1"/>
    <xf numFmtId="44" fontId="42" fillId="0" borderId="0" xfId="0" applyNumberFormat="1" applyFont="1" applyBorder="1"/>
    <xf numFmtId="10" fontId="42" fillId="0" borderId="0" xfId="0" applyNumberFormat="1" applyFont="1" applyBorder="1"/>
    <xf numFmtId="0" fontId="68" fillId="0" borderId="2" xfId="0" applyFont="1" applyBorder="1"/>
    <xf numFmtId="40" fontId="60" fillId="0" borderId="0" xfId="0" applyNumberFormat="1" applyFont="1" applyBorder="1"/>
    <xf numFmtId="40" fontId="69" fillId="0" borderId="8" xfId="0" applyNumberFormat="1" applyFont="1" applyBorder="1"/>
    <xf numFmtId="40" fontId="67" fillId="0" borderId="17" xfId="0" applyNumberFormat="1" applyFont="1" applyBorder="1"/>
    <xf numFmtId="40" fontId="54" fillId="0" borderId="17" xfId="0" applyNumberFormat="1" applyFont="1" applyBorder="1"/>
    <xf numFmtId="40" fontId="3" fillId="2" borderId="3" xfId="10" applyNumberFormat="1" applyFont="1" applyFill="1" applyBorder="1" applyAlignment="1">
      <alignment horizontal="centerContinuous"/>
    </xf>
    <xf numFmtId="40" fontId="3" fillId="2" borderId="0" xfId="10" applyNumberFormat="1" applyFont="1" applyFill="1" applyBorder="1" applyAlignment="1">
      <alignment horizontal="left"/>
    </xf>
    <xf numFmtId="40" fontId="3" fillId="2" borderId="3" xfId="4" applyNumberFormat="1" applyFont="1" applyFill="1" applyBorder="1" applyAlignment="1">
      <alignment horizontal="centerContinuous"/>
    </xf>
    <xf numFmtId="40" fontId="3" fillId="2" borderId="0" xfId="4" applyNumberFormat="1" applyFont="1" applyFill="1" applyBorder="1" applyAlignment="1">
      <alignment horizontal="centerContinuous"/>
    </xf>
    <xf numFmtId="40" fontId="0" fillId="0" borderId="30" xfId="0" applyNumberFormat="1" applyBorder="1"/>
    <xf numFmtId="10" fontId="3" fillId="2" borderId="0" xfId="11" applyNumberFormat="1" applyFont="1" applyFill="1" applyBorder="1" applyAlignment="1">
      <alignment horizontal="right"/>
    </xf>
    <xf numFmtId="40" fontId="0" fillId="0" borderId="37" xfId="0" applyNumberFormat="1" applyBorder="1"/>
    <xf numFmtId="44" fontId="5" fillId="0" borderId="11" xfId="1" applyNumberFormat="1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left" vertical="top"/>
    </xf>
    <xf numFmtId="10" fontId="3" fillId="2" borderId="0" xfId="1" quotePrefix="1" applyNumberFormat="1" applyFont="1" applyFill="1" applyBorder="1" applyAlignment="1">
      <alignment horizontal="centerContinuous"/>
    </xf>
    <xf numFmtId="10" fontId="3" fillId="2" borderId="1" xfId="1" quotePrefix="1" applyNumberFormat="1" applyFont="1" applyFill="1" applyBorder="1" applyAlignment="1">
      <alignment horizontal="centerContinuous"/>
    </xf>
    <xf numFmtId="10" fontId="4" fillId="0" borderId="1" xfId="0" applyNumberFormat="1" applyFont="1" applyBorder="1"/>
    <xf numFmtId="10" fontId="0" fillId="0" borderId="13" xfId="0" applyNumberFormat="1" applyBorder="1"/>
    <xf numFmtId="10" fontId="63" fillId="0" borderId="0" xfId="0" applyNumberFormat="1" applyFont="1"/>
    <xf numFmtId="10" fontId="63" fillId="0" borderId="6" xfId="0" applyNumberFormat="1" applyFont="1" applyBorder="1"/>
    <xf numFmtId="0" fontId="0" fillId="0" borderId="36" xfId="0" applyBorder="1"/>
    <xf numFmtId="0" fontId="51" fillId="0" borderId="19" xfId="0" applyFont="1" applyBorder="1" applyAlignment="1">
      <alignment wrapText="1"/>
    </xf>
    <xf numFmtId="40" fontId="0" fillId="0" borderId="35" xfId="0" applyNumberFormat="1" applyBorder="1"/>
    <xf numFmtId="40" fontId="0" fillId="0" borderId="36" xfId="0" applyNumberFormat="1" applyFill="1" applyBorder="1"/>
    <xf numFmtId="0" fontId="3" fillId="2" borderId="0" xfId="13" applyFont="1" applyFill="1" applyBorder="1" applyAlignment="1">
      <alignment horizontal="center"/>
    </xf>
    <xf numFmtId="10" fontId="69" fillId="0" borderId="0" xfId="0" applyNumberFormat="1" applyFont="1" applyBorder="1"/>
    <xf numFmtId="10" fontId="41" fillId="0" borderId="0" xfId="0" applyNumberFormat="1" applyFont="1" applyBorder="1"/>
    <xf numFmtId="40" fontId="3" fillId="0" borderId="19" xfId="1" applyNumberFormat="1" applyFont="1" applyBorder="1"/>
    <xf numFmtId="9" fontId="69" fillId="0" borderId="19" xfId="0" applyNumberFormat="1" applyFont="1" applyBorder="1" applyAlignment="1">
      <alignment wrapText="1"/>
    </xf>
    <xf numFmtId="40" fontId="24" fillId="0" borderId="19" xfId="1" applyNumberFormat="1" applyFont="1" applyBorder="1" applyAlignment="1">
      <alignment horizontal="center" wrapText="1"/>
    </xf>
    <xf numFmtId="14" fontId="3" fillId="2" borderId="0" xfId="4" applyNumberFormat="1" applyFont="1" applyFill="1" applyBorder="1" applyAlignment="1">
      <alignment horizontal="left"/>
    </xf>
    <xf numFmtId="0" fontId="0" fillId="0" borderId="25" xfId="0" applyBorder="1"/>
    <xf numFmtId="0" fontId="0" fillId="0" borderId="27" xfId="0" applyBorder="1"/>
    <xf numFmtId="44" fontId="65" fillId="0" borderId="8" xfId="0" applyNumberFormat="1" applyFont="1" applyBorder="1"/>
    <xf numFmtId="10" fontId="65" fillId="0" borderId="8" xfId="0" applyNumberFormat="1" applyFont="1" applyBorder="1"/>
    <xf numFmtId="40" fontId="19" fillId="0" borderId="19" xfId="0" applyNumberFormat="1" applyFont="1" applyBorder="1" applyAlignment="1">
      <alignment wrapText="1"/>
    </xf>
    <xf numFmtId="0" fontId="60" fillId="0" borderId="17" xfId="0" applyFont="1" applyBorder="1"/>
    <xf numFmtId="44" fontId="65" fillId="0" borderId="17" xfId="0" applyNumberFormat="1" applyFont="1" applyBorder="1"/>
    <xf numFmtId="0" fontId="60" fillId="0" borderId="21" xfId="0" applyFont="1" applyBorder="1"/>
    <xf numFmtId="0" fontId="60" fillId="0" borderId="2" xfId="0" applyFont="1" applyBorder="1"/>
    <xf numFmtId="40" fontId="60" fillId="0" borderId="2" xfId="0" applyNumberFormat="1" applyFont="1" applyBorder="1"/>
    <xf numFmtId="44" fontId="60" fillId="0" borderId="2" xfId="0" applyNumberFormat="1" applyFont="1" applyBorder="1"/>
    <xf numFmtId="0" fontId="4" fillId="0" borderId="44" xfId="0" applyFont="1" applyBorder="1"/>
    <xf numFmtId="44" fontId="4" fillId="0" borderId="44" xfId="0" applyNumberFormat="1" applyFont="1" applyBorder="1"/>
    <xf numFmtId="40" fontId="17" fillId="0" borderId="44" xfId="0" applyNumberFormat="1" applyFont="1" applyBorder="1"/>
    <xf numFmtId="44" fontId="13" fillId="0" borderId="44" xfId="0" applyNumberFormat="1" applyFont="1" applyBorder="1"/>
    <xf numFmtId="40" fontId="0" fillId="0" borderId="44" xfId="0" applyNumberFormat="1" applyBorder="1"/>
    <xf numFmtId="10" fontId="0" fillId="0" borderId="44" xfId="0" applyNumberFormat="1" applyBorder="1"/>
    <xf numFmtId="40" fontId="22" fillId="0" borderId="20" xfId="1" applyNumberFormat="1" applyFont="1" applyBorder="1"/>
    <xf numFmtId="10" fontId="24" fillId="0" borderId="20" xfId="1" applyNumberFormat="1" applyFont="1" applyBorder="1"/>
    <xf numFmtId="6" fontId="4" fillId="0" borderId="44" xfId="0" applyNumberFormat="1" applyFont="1" applyBorder="1"/>
    <xf numFmtId="10" fontId="24" fillId="0" borderId="44" xfId="1" applyNumberFormat="1" applyFont="1" applyBorder="1"/>
    <xf numFmtId="10" fontId="74" fillId="0" borderId="44" xfId="0" applyNumberFormat="1" applyFont="1" applyBorder="1"/>
    <xf numFmtId="0" fontId="0" fillId="0" borderId="44" xfId="0" applyBorder="1"/>
    <xf numFmtId="0" fontId="0" fillId="0" borderId="45" xfId="0" applyBorder="1"/>
    <xf numFmtId="40" fontId="0" fillId="0" borderId="45" xfId="0" applyNumberFormat="1" applyBorder="1"/>
    <xf numFmtId="10" fontId="0" fillId="0" borderId="45" xfId="0" applyNumberFormat="1" applyBorder="1"/>
    <xf numFmtId="0" fontId="49" fillId="0" borderId="44" xfId="0" applyFont="1" applyBorder="1"/>
    <xf numFmtId="44" fontId="0" fillId="0" borderId="44" xfId="0" applyNumberFormat="1" applyBorder="1"/>
    <xf numFmtId="40" fontId="27" fillId="0" borderId="44" xfId="0" applyNumberFormat="1" applyFont="1" applyBorder="1"/>
    <xf numFmtId="0" fontId="0" fillId="0" borderId="20" xfId="0" applyBorder="1"/>
    <xf numFmtId="40" fontId="3" fillId="2" borderId="0" xfId="1" applyNumberFormat="1" applyFont="1" applyFill="1" applyBorder="1" applyAlignment="1">
      <alignment horizontal="left"/>
    </xf>
    <xf numFmtId="0" fontId="0" fillId="0" borderId="6" xfId="0" applyBorder="1"/>
    <xf numFmtId="40" fontId="51" fillId="0" borderId="19" xfId="0" applyNumberFormat="1" applyFont="1" applyBorder="1" applyAlignment="1">
      <alignment wrapText="1"/>
    </xf>
    <xf numFmtId="14" fontId="3" fillId="2" borderId="1" xfId="11" applyNumberFormat="1" applyFont="1" applyFill="1" applyBorder="1" applyAlignment="1">
      <alignment horizontal="left" vertical="top"/>
    </xf>
    <xf numFmtId="44" fontId="0" fillId="0" borderId="0" xfId="0" applyNumberFormat="1" applyFill="1" applyBorder="1"/>
    <xf numFmtId="44" fontId="51" fillId="0" borderId="19" xfId="0" applyNumberFormat="1" applyFont="1" applyBorder="1" applyAlignment="1">
      <alignment wrapText="1"/>
    </xf>
    <xf numFmtId="44" fontId="0" fillId="0" borderId="21" xfId="0" applyNumberFormat="1" applyBorder="1"/>
    <xf numFmtId="0" fontId="0" fillId="0" borderId="29" xfId="0" applyBorder="1"/>
    <xf numFmtId="10" fontId="5" fillId="0" borderId="19" xfId="1" applyNumberFormat="1" applyFont="1" applyFill="1" applyBorder="1" applyAlignment="1">
      <alignment horizontal="center" wrapText="1"/>
    </xf>
    <xf numFmtId="44" fontId="0" fillId="0" borderId="21" xfId="0" applyNumberFormat="1" applyFill="1" applyBorder="1"/>
    <xf numFmtId="44" fontId="0" fillId="0" borderId="2" xfId="0" applyNumberFormat="1" applyFill="1" applyBorder="1"/>
    <xf numFmtId="44" fontId="0" fillId="0" borderId="13" xfId="0" applyNumberFormat="1" applyBorder="1"/>
    <xf numFmtId="44" fontId="0" fillId="0" borderId="6" xfId="0" applyNumberFormat="1" applyBorder="1"/>
    <xf numFmtId="10" fontId="5" fillId="0" borderId="11" xfId="1" applyNumberFormat="1" applyFont="1" applyFill="1" applyBorder="1" applyAlignment="1">
      <alignment horizontal="center" wrapText="1"/>
    </xf>
    <xf numFmtId="40" fontId="0" fillId="0" borderId="25" xfId="0" applyNumberFormat="1" applyBorder="1"/>
    <xf numFmtId="44" fontId="63" fillId="0" borderId="0" xfId="0" applyNumberFormat="1" applyFont="1"/>
    <xf numFmtId="44" fontId="63" fillId="0" borderId="6" xfId="0" applyNumberFormat="1" applyFont="1" applyBorder="1"/>
    <xf numFmtId="44" fontId="60" fillId="0" borderId="21" xfId="0" applyNumberFormat="1" applyFont="1" applyBorder="1"/>
    <xf numFmtId="44" fontId="60" fillId="0" borderId="7" xfId="0" applyNumberFormat="1" applyFont="1" applyBorder="1"/>
    <xf numFmtId="0" fontId="59" fillId="0" borderId="13" xfId="0" applyFont="1" applyBorder="1"/>
    <xf numFmtId="44" fontId="59" fillId="0" borderId="13" xfId="0" applyNumberFormat="1" applyFont="1" applyBorder="1"/>
    <xf numFmtId="0" fontId="54" fillId="0" borderId="19" xfId="0" applyFont="1" applyBorder="1"/>
    <xf numFmtId="0" fontId="4" fillId="0" borderId="26" xfId="0" quotePrefix="1" applyFont="1" applyBorder="1" applyAlignment="1">
      <alignment horizontal="center"/>
    </xf>
    <xf numFmtId="0" fontId="4" fillId="0" borderId="28" xfId="0" quotePrefix="1" applyFont="1" applyBorder="1" applyAlignment="1">
      <alignment horizontal="center"/>
    </xf>
    <xf numFmtId="0" fontId="4" fillId="0" borderId="46" xfId="4" quotePrefix="1" applyFont="1" applyBorder="1"/>
    <xf numFmtId="0" fontId="6" fillId="0" borderId="46" xfId="4" applyFont="1" applyBorder="1"/>
    <xf numFmtId="44" fontId="60" fillId="0" borderId="2" xfId="0" applyNumberFormat="1" applyFont="1" applyFill="1" applyBorder="1"/>
    <xf numFmtId="0" fontId="75" fillId="0" borderId="26" xfId="5" quotePrefix="1" applyFont="1" applyBorder="1"/>
    <xf numFmtId="0" fontId="75" fillId="0" borderId="26" xfId="5" quotePrefix="1" applyFont="1" applyFill="1" applyBorder="1"/>
    <xf numFmtId="0" fontId="76" fillId="0" borderId="0" xfId="0" applyFont="1"/>
    <xf numFmtId="0" fontId="76" fillId="0" borderId="0" xfId="0" applyFont="1" applyFill="1"/>
    <xf numFmtId="40" fontId="6" fillId="0" borderId="19" xfId="1" applyNumberFormat="1" applyFont="1" applyFill="1" applyBorder="1" applyAlignment="1">
      <alignment horizontal="center" wrapText="1"/>
    </xf>
    <xf numFmtId="0" fontId="60" fillId="0" borderId="20" xfId="0" applyFont="1" applyBorder="1"/>
    <xf numFmtId="0" fontId="38" fillId="0" borderId="20" xfId="0" applyFont="1" applyBorder="1"/>
    <xf numFmtId="0" fontId="39" fillId="0" borderId="20" xfId="0" applyFont="1" applyBorder="1"/>
    <xf numFmtId="43" fontId="37" fillId="0" borderId="20" xfId="1" applyFont="1" applyBorder="1" applyAlignment="1">
      <alignment horizontal="center" wrapText="1"/>
    </xf>
    <xf numFmtId="8" fontId="60" fillId="0" borderId="20" xfId="0" applyNumberFormat="1" applyFont="1" applyBorder="1"/>
    <xf numFmtId="43" fontId="40" fillId="0" borderId="20" xfId="1" applyFont="1" applyBorder="1" applyAlignment="1">
      <alignment horizontal="center" wrapText="1"/>
    </xf>
    <xf numFmtId="10" fontId="41" fillId="0" borderId="20" xfId="0" applyNumberFormat="1" applyFont="1" applyBorder="1" applyAlignment="1">
      <alignment horizontal="center" wrapText="1"/>
    </xf>
    <xf numFmtId="10" fontId="19" fillId="0" borderId="20" xfId="0" applyNumberFormat="1" applyFont="1" applyBorder="1" applyAlignment="1">
      <alignment horizontal="center" wrapText="1"/>
    </xf>
    <xf numFmtId="40" fontId="18" fillId="0" borderId="20" xfId="0" applyNumberFormat="1" applyFont="1" applyBorder="1" applyAlignment="1">
      <alignment horizontal="center" wrapText="1"/>
    </xf>
    <xf numFmtId="40" fontId="18" fillId="0" borderId="0" xfId="0" applyNumberFormat="1" applyFont="1" applyBorder="1" applyAlignment="1">
      <alignment horizontal="center" wrapText="1"/>
    </xf>
    <xf numFmtId="44" fontId="19" fillId="0" borderId="20" xfId="0" applyNumberFormat="1" applyFont="1" applyBorder="1" applyAlignment="1">
      <alignment horizontal="center" wrapText="1"/>
    </xf>
    <xf numFmtId="0" fontId="56" fillId="0" borderId="20" xfId="0" applyFont="1" applyBorder="1" applyAlignment="1">
      <alignment wrapText="1"/>
    </xf>
    <xf numFmtId="0" fontId="19" fillId="0" borderId="20" xfId="0" applyFont="1" applyBorder="1"/>
    <xf numFmtId="40" fontId="19" fillId="0" borderId="20" xfId="0" applyNumberFormat="1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38" fillId="0" borderId="24" xfId="0" quotePrefix="1" applyFont="1" applyBorder="1"/>
    <xf numFmtId="0" fontId="38" fillId="0" borderId="21" xfId="0" applyFont="1" applyBorder="1"/>
    <xf numFmtId="44" fontId="38" fillId="0" borderId="21" xfId="0" applyNumberFormat="1" applyFont="1" applyBorder="1"/>
    <xf numFmtId="8" fontId="60" fillId="0" borderId="21" xfId="0" applyNumberFormat="1" applyFont="1" applyBorder="1"/>
    <xf numFmtId="10" fontId="60" fillId="0" borderId="21" xfId="0" applyNumberFormat="1" applyFont="1" applyBorder="1"/>
    <xf numFmtId="4" fontId="60" fillId="0" borderId="21" xfId="0" applyNumberFormat="1" applyFont="1" applyBorder="1"/>
    <xf numFmtId="0" fontId="38" fillId="0" borderId="26" xfId="0" quotePrefix="1" applyFont="1" applyBorder="1"/>
    <xf numFmtId="44" fontId="38" fillId="0" borderId="2" xfId="0" applyNumberFormat="1" applyFont="1" applyBorder="1"/>
    <xf numFmtId="8" fontId="60" fillId="0" borderId="2" xfId="0" applyNumberFormat="1" applyFont="1" applyBorder="1"/>
    <xf numFmtId="10" fontId="60" fillId="0" borderId="2" xfId="0" applyNumberFormat="1" applyFont="1" applyBorder="1"/>
    <xf numFmtId="4" fontId="60" fillId="0" borderId="2" xfId="0" applyNumberFormat="1" applyFont="1" applyBorder="1"/>
    <xf numFmtId="4" fontId="70" fillId="0" borderId="2" xfId="0" applyNumberFormat="1" applyFont="1" applyBorder="1"/>
    <xf numFmtId="0" fontId="38" fillId="0" borderId="2" xfId="0" applyFont="1" applyBorder="1"/>
    <xf numFmtId="44" fontId="61" fillId="0" borderId="2" xfId="0" applyNumberFormat="1" applyFont="1" applyBorder="1"/>
    <xf numFmtId="10" fontId="61" fillId="0" borderId="2" xfId="0" applyNumberFormat="1" applyFont="1" applyBorder="1"/>
    <xf numFmtId="44" fontId="38" fillId="0" borderId="7" xfId="0" applyNumberFormat="1" applyFont="1" applyBorder="1"/>
    <xf numFmtId="8" fontId="60" fillId="0" borderId="7" xfId="0" applyNumberFormat="1" applyFont="1" applyBorder="1"/>
    <xf numFmtId="10" fontId="60" fillId="0" borderId="7" xfId="0" applyNumberFormat="1" applyFont="1" applyBorder="1"/>
    <xf numFmtId="0" fontId="60" fillId="0" borderId="7" xfId="0" applyFont="1" applyBorder="1"/>
    <xf numFmtId="4" fontId="60" fillId="0" borderId="7" xfId="0" applyNumberFormat="1" applyFont="1" applyBorder="1"/>
    <xf numFmtId="40" fontId="60" fillId="0" borderId="7" xfId="0" applyNumberFormat="1" applyFont="1" applyBorder="1"/>
    <xf numFmtId="0" fontId="41" fillId="0" borderId="10" xfId="0" applyFont="1" applyBorder="1"/>
    <xf numFmtId="0" fontId="41" fillId="0" borderId="10" xfId="0" applyFont="1" applyFill="1" applyBorder="1"/>
    <xf numFmtId="44" fontId="42" fillId="0" borderId="10" xfId="0" applyNumberFormat="1" applyFont="1" applyBorder="1"/>
    <xf numFmtId="10" fontId="69" fillId="0" borderId="10" xfId="0" applyNumberFormat="1" applyFont="1" applyBorder="1"/>
    <xf numFmtId="40" fontId="0" fillId="0" borderId="20" xfId="0" applyNumberFormat="1" applyBorder="1"/>
    <xf numFmtId="0" fontId="64" fillId="0" borderId="0" xfId="0" applyFont="1"/>
    <xf numFmtId="44" fontId="64" fillId="0" borderId="0" xfId="0" applyNumberFormat="1" applyFont="1"/>
    <xf numFmtId="40" fontId="0" fillId="0" borderId="25" xfId="0" applyNumberFormat="1" applyFill="1" applyBorder="1"/>
    <xf numFmtId="40" fontId="0" fillId="0" borderId="29" xfId="0" applyNumberFormat="1" applyFill="1" applyBorder="1"/>
    <xf numFmtId="39" fontId="0" fillId="0" borderId="0" xfId="0" applyNumberFormat="1" applyFont="1"/>
    <xf numFmtId="0" fontId="4" fillId="0" borderId="48" xfId="0" applyFont="1" applyBorder="1" applyAlignment="1">
      <alignment horizontal="center"/>
    </xf>
    <xf numFmtId="40" fontId="0" fillId="0" borderId="0" xfId="0" applyNumberFormat="1" applyAlignment="1">
      <alignment horizontal="left"/>
    </xf>
    <xf numFmtId="40" fontId="49" fillId="0" borderId="19" xfId="0" applyNumberFormat="1" applyFont="1" applyBorder="1" applyAlignment="1">
      <alignment wrapText="1"/>
    </xf>
    <xf numFmtId="0" fontId="22" fillId="0" borderId="0" xfId="2" applyFont="1" applyBorder="1"/>
    <xf numFmtId="10" fontId="67" fillId="0" borderId="0" xfId="0" applyNumberFormat="1" applyFont="1" applyBorder="1"/>
    <xf numFmtId="10" fontId="51" fillId="0" borderId="0" xfId="0" applyNumberFormat="1" applyFont="1"/>
    <xf numFmtId="0" fontId="4" fillId="0" borderId="27" xfId="2" applyFont="1" applyBorder="1"/>
    <xf numFmtId="0" fontId="4" fillId="0" borderId="19" xfId="2" applyFont="1" applyBorder="1"/>
    <xf numFmtId="44" fontId="18" fillId="0" borderId="34" xfId="0" applyNumberFormat="1" applyFont="1" applyBorder="1"/>
    <xf numFmtId="0" fontId="69" fillId="0" borderId="19" xfId="0" applyFont="1" applyBorder="1" applyAlignment="1">
      <alignment wrapText="1"/>
    </xf>
    <xf numFmtId="0" fontId="41" fillId="0" borderId="49" xfId="0" applyFont="1" applyBorder="1"/>
    <xf numFmtId="0" fontId="37" fillId="0" borderId="10" xfId="7" applyFont="1" applyBorder="1"/>
    <xf numFmtId="44" fontId="37" fillId="0" borderId="10" xfId="1" applyNumberFormat="1" applyFont="1" applyFill="1" applyBorder="1"/>
    <xf numFmtId="44" fontId="40" fillId="0" borderId="10" xfId="1" applyNumberFormat="1" applyFont="1" applyFill="1" applyBorder="1"/>
    <xf numFmtId="10" fontId="41" fillId="0" borderId="10" xfId="0" applyNumberFormat="1" applyFont="1" applyBorder="1"/>
    <xf numFmtId="44" fontId="48" fillId="0" borderId="10" xfId="1" applyNumberFormat="1" applyFont="1" applyFill="1" applyBorder="1"/>
    <xf numFmtId="8" fontId="37" fillId="0" borderId="10" xfId="1" applyNumberFormat="1" applyFont="1" applyFill="1" applyBorder="1"/>
    <xf numFmtId="10" fontId="65" fillId="0" borderId="10" xfId="0" applyNumberFormat="1" applyFont="1" applyBorder="1"/>
    <xf numFmtId="0" fontId="43" fillId="0" borderId="24" xfId="7" quotePrefix="1" applyFont="1" applyFill="1" applyBorder="1"/>
    <xf numFmtId="0" fontId="43" fillId="0" borderId="21" xfId="7" applyFont="1" applyFill="1" applyBorder="1"/>
    <xf numFmtId="44" fontId="43" fillId="0" borderId="21" xfId="1" applyNumberFormat="1" applyFont="1" applyFill="1" applyBorder="1"/>
    <xf numFmtId="44" fontId="43" fillId="0" borderId="21" xfId="7" applyNumberFormat="1" applyFont="1" applyFill="1" applyBorder="1"/>
    <xf numFmtId="8" fontId="43" fillId="0" borderId="21" xfId="7" applyNumberFormat="1" applyFont="1" applyBorder="1"/>
    <xf numFmtId="44" fontId="61" fillId="0" borderId="21" xfId="0" applyNumberFormat="1" applyFont="1" applyBorder="1"/>
    <xf numFmtId="8" fontId="45" fillId="0" borderId="21" xfId="0" applyNumberFormat="1" applyFont="1" applyBorder="1"/>
    <xf numFmtId="8" fontId="35" fillId="0" borderId="21" xfId="0" applyNumberFormat="1" applyFont="1" applyBorder="1"/>
    <xf numFmtId="8" fontId="71" fillId="0" borderId="21" xfId="0" applyNumberFormat="1" applyFont="1" applyBorder="1"/>
    <xf numFmtId="44" fontId="71" fillId="0" borderId="21" xfId="0" applyNumberFormat="1" applyFont="1" applyBorder="1"/>
    <xf numFmtId="40" fontId="60" fillId="0" borderId="21" xfId="0" applyNumberFormat="1" applyFont="1" applyBorder="1"/>
    <xf numFmtId="0" fontId="43" fillId="0" borderId="26" xfId="7" quotePrefix="1" applyFont="1" applyFill="1" applyBorder="1"/>
    <xf numFmtId="0" fontId="43" fillId="0" borderId="2" xfId="7" applyFont="1" applyFill="1" applyBorder="1"/>
    <xf numFmtId="44" fontId="43" fillId="0" borderId="2" xfId="1" applyNumberFormat="1" applyFont="1" applyFill="1" applyBorder="1"/>
    <xf numFmtId="44" fontId="43" fillId="0" borderId="2" xfId="7" applyNumberFormat="1" applyFont="1" applyFill="1" applyBorder="1"/>
    <xf numFmtId="8" fontId="43" fillId="0" borderId="2" xfId="7" applyNumberFormat="1" applyFont="1" applyFill="1" applyBorder="1"/>
    <xf numFmtId="8" fontId="43" fillId="0" borderId="2" xfId="7" applyNumberFormat="1" applyFont="1" applyBorder="1"/>
    <xf numFmtId="44" fontId="46" fillId="0" borderId="2" xfId="0" applyNumberFormat="1" applyFont="1" applyBorder="1"/>
    <xf numFmtId="10" fontId="41" fillId="0" borderId="2" xfId="0" applyNumberFormat="1" applyFont="1" applyBorder="1"/>
    <xf numFmtId="0" fontId="43" fillId="0" borderId="26" xfId="7" quotePrefix="1" applyFont="1" applyFill="1" applyBorder="1" applyAlignment="1">
      <alignment horizontal="left"/>
    </xf>
    <xf numFmtId="44" fontId="47" fillId="0" borderId="2" xfId="1" applyNumberFormat="1" applyFont="1" applyFill="1" applyBorder="1"/>
    <xf numFmtId="8" fontId="43" fillId="0" borderId="2" xfId="1" applyNumberFormat="1" applyFont="1" applyFill="1" applyBorder="1"/>
    <xf numFmtId="7" fontId="45" fillId="0" borderId="2" xfId="0" applyNumberFormat="1" applyFont="1" applyBorder="1"/>
    <xf numFmtId="7" fontId="35" fillId="0" borderId="2" xfId="0" applyNumberFormat="1" applyFont="1" applyBorder="1"/>
    <xf numFmtId="7" fontId="71" fillId="0" borderId="2" xfId="0" applyNumberFormat="1" applyFont="1" applyBorder="1"/>
    <xf numFmtId="44" fontId="71" fillId="0" borderId="2" xfId="0" applyNumberFormat="1" applyFont="1" applyBorder="1"/>
    <xf numFmtId="44" fontId="35" fillId="0" borderId="2" xfId="0" applyNumberFormat="1" applyFont="1" applyBorder="1"/>
    <xf numFmtId="44" fontId="45" fillId="0" borderId="2" xfId="0" applyNumberFormat="1" applyFont="1" applyBorder="1"/>
    <xf numFmtId="7" fontId="72" fillId="0" borderId="2" xfId="0" applyNumberFormat="1" applyFont="1" applyBorder="1"/>
    <xf numFmtId="44" fontId="72" fillId="0" borderId="2" xfId="0" applyNumberFormat="1" applyFont="1" applyBorder="1"/>
    <xf numFmtId="0" fontId="43" fillId="0" borderId="28" xfId="7" quotePrefix="1" applyFont="1" applyFill="1" applyBorder="1"/>
    <xf numFmtId="0" fontId="43" fillId="0" borderId="7" xfId="7" applyFont="1" applyFill="1" applyBorder="1"/>
    <xf numFmtId="44" fontId="43" fillId="0" borderId="7" xfId="1" applyNumberFormat="1" applyFont="1" applyFill="1" applyBorder="1"/>
    <xf numFmtId="44" fontId="43" fillId="0" borderId="7" xfId="7" applyNumberFormat="1" applyFont="1" applyFill="1" applyBorder="1"/>
    <xf numFmtId="8" fontId="43" fillId="0" borderId="7" xfId="7" applyNumberFormat="1" applyFont="1" applyBorder="1"/>
    <xf numFmtId="44" fontId="61" fillId="0" borderId="7" xfId="0" applyNumberFormat="1" applyFont="1" applyBorder="1"/>
    <xf numFmtId="7" fontId="45" fillId="0" borderId="7" xfId="0" applyNumberFormat="1" applyFont="1" applyBorder="1"/>
    <xf numFmtId="44" fontId="35" fillId="0" borderId="7" xfId="0" applyNumberFormat="1" applyFont="1" applyBorder="1"/>
    <xf numFmtId="44" fontId="45" fillId="0" borderId="7" xfId="0" applyNumberFormat="1" applyFont="1" applyBorder="1"/>
    <xf numFmtId="0" fontId="43" fillId="0" borderId="19" xfId="7" applyFont="1" applyFill="1" applyBorder="1"/>
    <xf numFmtId="0" fontId="44" fillId="0" borderId="19" xfId="7" applyFont="1" applyBorder="1"/>
    <xf numFmtId="43" fontId="37" fillId="0" borderId="19" xfId="1" applyFont="1" applyBorder="1" applyAlignment="1">
      <alignment horizontal="center" wrapText="1"/>
    </xf>
    <xf numFmtId="0" fontId="60" fillId="0" borderId="19" xfId="0" applyFont="1" applyBorder="1"/>
    <xf numFmtId="10" fontId="60" fillId="0" borderId="19" xfId="0" applyNumberFormat="1" applyFont="1" applyBorder="1"/>
    <xf numFmtId="9" fontId="60" fillId="0" borderId="19" xfId="0" applyNumberFormat="1" applyFont="1" applyBorder="1"/>
    <xf numFmtId="40" fontId="49" fillId="0" borderId="19" xfId="0" applyNumberFormat="1" applyFont="1" applyBorder="1" applyAlignment="1">
      <alignment horizontal="center" wrapText="1"/>
    </xf>
    <xf numFmtId="0" fontId="49" fillId="0" borderId="19" xfId="0" applyFont="1" applyBorder="1" applyAlignment="1">
      <alignment wrapText="1"/>
    </xf>
    <xf numFmtId="40" fontId="18" fillId="0" borderId="34" xfId="0" applyNumberFormat="1" applyFont="1" applyBorder="1"/>
    <xf numFmtId="0" fontId="4" fillId="0" borderId="35" xfId="0" applyFont="1" applyBorder="1" applyAlignment="1">
      <alignment horizontal="center"/>
    </xf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 applyAlignment="1">
      <alignment horizontal="center"/>
    </xf>
    <xf numFmtId="0" fontId="4" fillId="0" borderId="37" xfId="0" applyFont="1" applyBorder="1"/>
    <xf numFmtId="0" fontId="6" fillId="0" borderId="19" xfId="0" applyFont="1" applyFill="1" applyBorder="1"/>
    <xf numFmtId="40" fontId="49" fillId="0" borderId="19" xfId="0" applyNumberFormat="1" applyFont="1" applyFill="1" applyBorder="1" applyAlignment="1">
      <alignment wrapText="1"/>
    </xf>
    <xf numFmtId="0" fontId="49" fillId="0" borderId="19" xfId="0" applyFont="1" applyFill="1" applyBorder="1" applyAlignment="1">
      <alignment wrapText="1"/>
    </xf>
    <xf numFmtId="40" fontId="51" fillId="0" borderId="0" xfId="0" applyNumberFormat="1" applyFont="1"/>
    <xf numFmtId="0" fontId="53" fillId="0" borderId="19" xfId="0" applyFont="1" applyBorder="1"/>
    <xf numFmtId="10" fontId="49" fillId="0" borderId="19" xfId="0" applyNumberFormat="1" applyFont="1" applyFill="1" applyBorder="1" applyAlignment="1">
      <alignment wrapText="1"/>
    </xf>
    <xf numFmtId="0" fontId="4" fillId="0" borderId="43" xfId="5" applyFont="1" applyBorder="1"/>
    <xf numFmtId="40" fontId="17" fillId="0" borderId="43" xfId="0" applyNumberFormat="1" applyFont="1" applyBorder="1"/>
    <xf numFmtId="0" fontId="4" fillId="0" borderId="21" xfId="5" applyFont="1" applyBorder="1"/>
    <xf numFmtId="40" fontId="17" fillId="0" borderId="21" xfId="0" applyNumberFormat="1" applyFont="1" applyBorder="1"/>
    <xf numFmtId="0" fontId="4" fillId="0" borderId="21" xfId="0" applyFont="1" applyFill="1" applyBorder="1"/>
    <xf numFmtId="0" fontId="4" fillId="0" borderId="2" xfId="5" applyFont="1" applyBorder="1"/>
    <xf numFmtId="0" fontId="4" fillId="0" borderId="7" xfId="0" applyFont="1" applyFill="1" applyBorder="1"/>
    <xf numFmtId="0" fontId="4" fillId="0" borderId="24" xfId="11" applyNumberFormat="1" applyFont="1" applyFill="1" applyBorder="1" applyAlignment="1">
      <alignment horizontal="centerContinuous"/>
    </xf>
    <xf numFmtId="0" fontId="4" fillId="0" borderId="26" xfId="11" applyNumberFormat="1" applyFont="1" applyFill="1" applyBorder="1" applyAlignment="1">
      <alignment horizontal="centerContinuous"/>
    </xf>
    <xf numFmtId="0" fontId="4" fillId="0" borderId="26" xfId="0" applyNumberFormat="1" applyFont="1" applyBorder="1" applyAlignment="1">
      <alignment horizontal="center"/>
    </xf>
    <xf numFmtId="44" fontId="0" fillId="0" borderId="5" xfId="0" applyNumberFormat="1" applyBorder="1"/>
    <xf numFmtId="44" fontId="13" fillId="0" borderId="19" xfId="0" applyNumberFormat="1" applyFont="1" applyBorder="1"/>
    <xf numFmtId="0" fontId="13" fillId="0" borderId="11" xfId="0" applyFont="1" applyBorder="1"/>
    <xf numFmtId="44" fontId="59" fillId="0" borderId="13" xfId="0" applyNumberFormat="1" applyFont="1" applyFill="1" applyBorder="1"/>
    <xf numFmtId="44" fontId="0" fillId="0" borderId="13" xfId="0" applyNumberFormat="1" applyFill="1" applyBorder="1"/>
    <xf numFmtId="44" fontId="15" fillId="0" borderId="0" xfId="0" applyNumberFormat="1" applyFont="1"/>
    <xf numFmtId="44" fontId="31" fillId="0" borderId="6" xfId="0" applyNumberFormat="1" applyFont="1" applyFill="1" applyBorder="1"/>
    <xf numFmtId="44" fontId="56" fillId="0" borderId="0" xfId="0" applyNumberFormat="1" applyFont="1"/>
    <xf numFmtId="0" fontId="16" fillId="0" borderId="28" xfId="0" applyFont="1" applyBorder="1"/>
    <xf numFmtId="0" fontId="19" fillId="0" borderId="7" xfId="0" applyFont="1" applyBorder="1"/>
    <xf numFmtId="0" fontId="17" fillId="0" borderId="26" xfId="0" applyFont="1" applyBorder="1"/>
    <xf numFmtId="0" fontId="17" fillId="0" borderId="28" xfId="0" applyFont="1" applyBorder="1"/>
    <xf numFmtId="0" fontId="43" fillId="0" borderId="24" xfId="0" quotePrefix="1" applyFont="1" applyBorder="1"/>
    <xf numFmtId="0" fontId="43" fillId="0" borderId="21" xfId="0" applyFont="1" applyBorder="1"/>
    <xf numFmtId="44" fontId="43" fillId="0" borderId="21" xfId="0" applyNumberFormat="1" applyFont="1" applyBorder="1"/>
    <xf numFmtId="8" fontId="38" fillId="0" borderId="21" xfId="0" applyNumberFormat="1" applyFont="1" applyBorder="1"/>
    <xf numFmtId="164" fontId="61" fillId="0" borderId="21" xfId="0" applyNumberFormat="1" applyFont="1" applyBorder="1"/>
    <xf numFmtId="0" fontId="43" fillId="0" borderId="26" xfId="0" quotePrefix="1" applyFont="1" applyBorder="1"/>
    <xf numFmtId="0" fontId="43" fillId="0" borderId="2" xfId="0" applyFont="1" applyBorder="1"/>
    <xf numFmtId="44" fontId="43" fillId="0" borderId="2" xfId="0" applyNumberFormat="1" applyFont="1" applyBorder="1"/>
    <xf numFmtId="8" fontId="38" fillId="0" borderId="2" xfId="0" applyNumberFormat="1" applyFont="1" applyBorder="1"/>
    <xf numFmtId="164" fontId="61" fillId="0" borderId="2" xfId="0" applyNumberFormat="1" applyFont="1" applyBorder="1"/>
    <xf numFmtId="0" fontId="43" fillId="0" borderId="28" xfId="0" quotePrefix="1" applyFont="1" applyBorder="1"/>
    <xf numFmtId="0" fontId="43" fillId="0" borderId="7" xfId="0" applyFont="1" applyBorder="1"/>
    <xf numFmtId="44" fontId="43" fillId="0" borderId="7" xfId="0" applyNumberFormat="1" applyFont="1" applyBorder="1"/>
    <xf numFmtId="8" fontId="38" fillId="0" borderId="7" xfId="0" applyNumberFormat="1" applyFont="1" applyBorder="1"/>
    <xf numFmtId="164" fontId="61" fillId="0" borderId="7" xfId="0" applyNumberFormat="1" applyFont="1" applyBorder="1"/>
    <xf numFmtId="44" fontId="51" fillId="0" borderId="0" xfId="0" applyNumberFormat="1" applyFont="1"/>
    <xf numFmtId="8" fontId="51" fillId="0" borderId="0" xfId="0" applyNumberFormat="1" applyFont="1"/>
    <xf numFmtId="0" fontId="55" fillId="0" borderId="19" xfId="0" applyFont="1" applyBorder="1"/>
    <xf numFmtId="4" fontId="18" fillId="0" borderId="34" xfId="0" applyNumberFormat="1" applyFont="1" applyBorder="1" applyAlignment="1">
      <alignment horizontal="center"/>
    </xf>
    <xf numFmtId="40" fontId="67" fillId="0" borderId="22" xfId="0" applyNumberFormat="1" applyFont="1" applyBorder="1"/>
    <xf numFmtId="0" fontId="4" fillId="0" borderId="26" xfId="2" quotePrefix="1" applyFont="1" applyFill="1" applyBorder="1"/>
    <xf numFmtId="0" fontId="4" fillId="0" borderId="2" xfId="2" applyFont="1" applyFill="1" applyBorder="1"/>
    <xf numFmtId="0" fontId="0" fillId="0" borderId="0" xfId="0" applyAlignment="1">
      <alignment wrapText="1"/>
    </xf>
    <xf numFmtId="0" fontId="4" fillId="0" borderId="26" xfId="2" quotePrefix="1" applyFont="1" applyBorder="1" applyAlignment="1">
      <alignment wrapText="1"/>
    </xf>
    <xf numFmtId="0" fontId="4" fillId="0" borderId="2" xfId="2" applyFont="1" applyBorder="1" applyAlignment="1">
      <alignment wrapText="1"/>
    </xf>
    <xf numFmtId="0" fontId="0" fillId="5" borderId="44" xfId="0" applyFill="1" applyBorder="1"/>
    <xf numFmtId="0" fontId="0" fillId="5" borderId="0" xfId="0" applyFill="1"/>
    <xf numFmtId="0" fontId="79" fillId="0" borderId="0" xfId="0" applyFont="1" applyFill="1"/>
    <xf numFmtId="0" fontId="0" fillId="0" borderId="41" xfId="0" applyBorder="1"/>
    <xf numFmtId="40" fontId="49" fillId="0" borderId="36" xfId="0" applyNumberFormat="1" applyFont="1" applyFill="1" applyBorder="1" applyAlignment="1">
      <alignment wrapText="1"/>
    </xf>
    <xf numFmtId="10" fontId="67" fillId="0" borderId="18" xfId="0" applyNumberFormat="1" applyFont="1" applyBorder="1"/>
    <xf numFmtId="0" fontId="6" fillId="0" borderId="50" xfId="2" applyFont="1" applyBorder="1"/>
    <xf numFmtId="43" fontId="6" fillId="0" borderId="51" xfId="2" applyNumberFormat="1" applyFont="1" applyBorder="1"/>
    <xf numFmtId="10" fontId="51" fillId="0" borderId="44" xfId="0" applyNumberFormat="1" applyFont="1" applyBorder="1"/>
    <xf numFmtId="40" fontId="22" fillId="7" borderId="20" xfId="1" applyNumberFormat="1" applyFont="1" applyFill="1" applyBorder="1"/>
    <xf numFmtId="0" fontId="43" fillId="0" borderId="0" xfId="7" applyFont="1" applyAlignment="1">
      <alignment wrapText="1"/>
    </xf>
    <xf numFmtId="0" fontId="43" fillId="0" borderId="26" xfId="7" quotePrefix="1" applyFont="1" applyFill="1" applyBorder="1" applyAlignment="1">
      <alignment wrapText="1"/>
    </xf>
    <xf numFmtId="0" fontId="43" fillId="0" borderId="2" xfId="7" applyFont="1" applyFill="1" applyBorder="1" applyAlignment="1">
      <alignment wrapText="1"/>
    </xf>
    <xf numFmtId="44" fontId="43" fillId="0" borderId="2" xfId="1" applyNumberFormat="1" applyFont="1" applyFill="1" applyBorder="1" applyAlignment="1">
      <alignment wrapText="1"/>
    </xf>
    <xf numFmtId="44" fontId="43" fillId="0" borderId="2" xfId="7" applyNumberFormat="1" applyFont="1" applyFill="1" applyBorder="1" applyAlignment="1">
      <alignment wrapText="1"/>
    </xf>
    <xf numFmtId="8" fontId="43" fillId="0" borderId="2" xfId="7" applyNumberFormat="1" applyFont="1" applyBorder="1" applyAlignment="1">
      <alignment wrapText="1"/>
    </xf>
    <xf numFmtId="44" fontId="61" fillId="0" borderId="2" xfId="0" applyNumberFormat="1" applyFont="1" applyBorder="1" applyAlignment="1">
      <alignment wrapText="1"/>
    </xf>
    <xf numFmtId="10" fontId="60" fillId="0" borderId="2" xfId="0" applyNumberFormat="1" applyFont="1" applyBorder="1" applyAlignment="1">
      <alignment wrapText="1"/>
    </xf>
    <xf numFmtId="44" fontId="45" fillId="0" borderId="2" xfId="0" applyNumberFormat="1" applyFont="1" applyBorder="1" applyAlignment="1">
      <alignment wrapText="1"/>
    </xf>
    <xf numFmtId="44" fontId="35" fillId="0" borderId="2" xfId="0" applyNumberFormat="1" applyFont="1" applyBorder="1" applyAlignment="1">
      <alignment wrapText="1"/>
    </xf>
    <xf numFmtId="44" fontId="72" fillId="0" borderId="2" xfId="0" applyNumberFormat="1" applyFont="1" applyBorder="1" applyAlignment="1">
      <alignment wrapText="1"/>
    </xf>
    <xf numFmtId="44" fontId="60" fillId="0" borderId="2" xfId="0" applyNumberFormat="1" applyFont="1" applyBorder="1" applyAlignment="1">
      <alignment wrapText="1"/>
    </xf>
    <xf numFmtId="0" fontId="60" fillId="0" borderId="2" xfId="0" applyFont="1" applyBorder="1" applyAlignment="1">
      <alignment wrapText="1"/>
    </xf>
    <xf numFmtId="8" fontId="60" fillId="0" borderId="2" xfId="0" applyNumberFormat="1" applyFont="1" applyBorder="1" applyAlignment="1">
      <alignment wrapText="1"/>
    </xf>
    <xf numFmtId="0" fontId="60" fillId="0" borderId="0" xfId="0" applyFont="1" applyAlignment="1">
      <alignment wrapText="1"/>
    </xf>
    <xf numFmtId="0" fontId="19" fillId="5" borderId="19" xfId="0" applyFont="1" applyFill="1" applyBorder="1" applyAlignment="1">
      <alignment wrapText="1"/>
    </xf>
    <xf numFmtId="0" fontId="19" fillId="4" borderId="19" xfId="0" applyFont="1" applyFill="1" applyBorder="1" applyAlignment="1">
      <alignment wrapText="1"/>
    </xf>
    <xf numFmtId="40" fontId="69" fillId="6" borderId="19" xfId="0" applyNumberFormat="1" applyFont="1" applyFill="1" applyBorder="1" applyAlignment="1">
      <alignment wrapText="1"/>
    </xf>
    <xf numFmtId="40" fontId="17" fillId="0" borderId="30" xfId="0" applyNumberFormat="1" applyFont="1" applyBorder="1"/>
    <xf numFmtId="44" fontId="13" fillId="0" borderId="22" xfId="0" applyNumberFormat="1" applyFont="1" applyBorder="1"/>
    <xf numFmtId="44" fontId="0" fillId="0" borderId="30" xfId="0" applyNumberFormat="1" applyBorder="1"/>
    <xf numFmtId="44" fontId="0" fillId="0" borderId="9" xfId="0" applyNumberFormat="1" applyBorder="1"/>
    <xf numFmtId="44" fontId="69" fillId="6" borderId="19" xfId="0" applyNumberFormat="1" applyFont="1" applyFill="1" applyBorder="1" applyAlignment="1">
      <alignment wrapText="1"/>
    </xf>
    <xf numFmtId="44" fontId="80" fillId="0" borderId="13" xfId="0" applyNumberFormat="1" applyFont="1" applyBorder="1"/>
    <xf numFmtId="0" fontId="58" fillId="0" borderId="0" xfId="0" applyFont="1" applyAlignment="1">
      <alignment horizontal="center"/>
    </xf>
    <xf numFmtId="44" fontId="6" fillId="2" borderId="3" xfId="1" applyNumberFormat="1" applyFont="1" applyFill="1" applyBorder="1" applyAlignment="1">
      <alignment horizontal="centerContinuous"/>
    </xf>
    <xf numFmtId="44" fontId="6" fillId="2" borderId="0" xfId="1" quotePrefix="1" applyNumberFormat="1" applyFont="1" applyFill="1" applyBorder="1" applyAlignment="1">
      <alignment horizontal="centerContinuous"/>
    </xf>
    <xf numFmtId="44" fontId="19" fillId="4" borderId="19" xfId="0" applyNumberFormat="1" applyFont="1" applyFill="1" applyBorder="1" applyAlignment="1">
      <alignment wrapText="1"/>
    </xf>
    <xf numFmtId="44" fontId="69" fillId="0" borderId="19" xfId="0" applyNumberFormat="1" applyFont="1" applyBorder="1" applyAlignment="1">
      <alignment horizontal="center" wrapText="1"/>
    </xf>
    <xf numFmtId="44" fontId="0" fillId="0" borderId="19" xfId="0" applyNumberFormat="1" applyBorder="1"/>
    <xf numFmtId="44" fontId="0" fillId="0" borderId="36" xfId="0" applyNumberFormat="1" applyBorder="1"/>
    <xf numFmtId="44" fontId="0" fillId="0" borderId="40" xfId="0" applyNumberFormat="1" applyBorder="1"/>
    <xf numFmtId="44" fontId="0" fillId="0" borderId="35" xfId="0" applyNumberFormat="1" applyBorder="1"/>
    <xf numFmtId="44" fontId="0" fillId="0" borderId="36" xfId="0" applyNumberFormat="1" applyFill="1" applyBorder="1"/>
    <xf numFmtId="44" fontId="0" fillId="2" borderId="3" xfId="0" applyNumberFormat="1" applyFill="1" applyBorder="1"/>
    <xf numFmtId="44" fontId="3" fillId="2" borderId="0" xfId="11" applyNumberFormat="1" applyFont="1" applyFill="1" applyBorder="1" applyAlignment="1">
      <alignment horizontal="centerContinuous"/>
    </xf>
    <xf numFmtId="44" fontId="0" fillId="2" borderId="0" xfId="0" applyNumberFormat="1" applyFill="1" applyBorder="1"/>
    <xf numFmtId="44" fontId="50" fillId="0" borderId="2" xfId="0" applyNumberFormat="1" applyFont="1" applyBorder="1"/>
    <xf numFmtId="44" fontId="50" fillId="0" borderId="2" xfId="0" applyNumberFormat="1" applyFont="1" applyFill="1" applyBorder="1"/>
    <xf numFmtId="44" fontId="3" fillId="2" borderId="3" xfId="11" applyNumberFormat="1" applyFont="1" applyFill="1" applyBorder="1" applyAlignment="1">
      <alignment horizontal="centerContinuous"/>
    </xf>
    <xf numFmtId="44" fontId="3" fillId="2" borderId="1" xfId="11" applyNumberFormat="1" applyFont="1" applyFill="1" applyBorder="1" applyAlignment="1">
      <alignment horizontal="centerContinuous"/>
    </xf>
    <xf numFmtId="44" fontId="19" fillId="0" borderId="34" xfId="0" applyNumberFormat="1" applyFont="1" applyBorder="1"/>
    <xf numFmtId="44" fontId="0" fillId="0" borderId="0" xfId="0" applyNumberFormat="1" applyFill="1"/>
    <xf numFmtId="44" fontId="0" fillId="0" borderId="37" xfId="0" applyNumberFormat="1" applyFill="1" applyBorder="1"/>
    <xf numFmtId="44" fontId="54" fillId="0" borderId="0" xfId="0" applyNumberFormat="1" applyFont="1" applyFill="1"/>
    <xf numFmtId="44" fontId="3" fillId="2" borderId="0" xfId="1" quotePrefix="1" applyNumberFormat="1" applyFont="1" applyFill="1" applyBorder="1" applyAlignment="1">
      <alignment horizontal="centerContinuous"/>
    </xf>
    <xf numFmtId="44" fontId="3" fillId="2" borderId="1" xfId="1" quotePrefix="1" applyNumberFormat="1" applyFont="1" applyFill="1" applyBorder="1" applyAlignment="1">
      <alignment horizontal="centerContinuous"/>
    </xf>
    <xf numFmtId="44" fontId="0" fillId="0" borderId="35" xfId="0" applyNumberFormat="1" applyFill="1" applyBorder="1"/>
    <xf numFmtId="44" fontId="0" fillId="0" borderId="37" xfId="0" applyNumberFormat="1" applyBorder="1"/>
    <xf numFmtId="44" fontId="0" fillId="0" borderId="6" xfId="0" applyNumberFormat="1" applyFill="1" applyBorder="1"/>
    <xf numFmtId="44" fontId="50" fillId="0" borderId="19" xfId="0" applyNumberFormat="1" applyFont="1" applyBorder="1"/>
    <xf numFmtId="44" fontId="49" fillId="0" borderId="19" xfId="0" applyNumberFormat="1" applyFont="1" applyFill="1" applyBorder="1" applyAlignment="1">
      <alignment wrapText="1"/>
    </xf>
    <xf numFmtId="44" fontId="3" fillId="2" borderId="3" xfId="11" applyNumberFormat="1" applyFont="1" applyFill="1" applyBorder="1" applyAlignment="1">
      <alignment horizontal="left" vertical="top"/>
    </xf>
    <xf numFmtId="44" fontId="3" fillId="2" borderId="0" xfId="11" applyNumberFormat="1" applyFont="1" applyFill="1" applyBorder="1" applyAlignment="1">
      <alignment horizontal="left" vertical="top"/>
    </xf>
    <xf numFmtId="44" fontId="3" fillId="2" borderId="3" xfId="4" applyNumberFormat="1" applyFont="1" applyFill="1" applyBorder="1" applyAlignment="1">
      <alignment horizontal="centerContinuous"/>
    </xf>
    <xf numFmtId="44" fontId="3" fillId="2" borderId="0" xfId="4" applyNumberFormat="1" applyFont="1" applyFill="1" applyBorder="1" applyAlignment="1">
      <alignment horizontal="centerContinuous"/>
    </xf>
    <xf numFmtId="44" fontId="6" fillId="0" borderId="46" xfId="1" applyNumberFormat="1" applyFont="1" applyBorder="1" applyAlignment="1">
      <alignment horizontal="center" wrapText="1"/>
    </xf>
    <xf numFmtId="44" fontId="6" fillId="0" borderId="23" xfId="1" applyNumberFormat="1" applyFont="1" applyBorder="1"/>
    <xf numFmtId="44" fontId="4" fillId="0" borderId="2" xfId="1" applyNumberFormat="1" applyFont="1" applyBorder="1"/>
    <xf numFmtId="0" fontId="3" fillId="2" borderId="0" xfId="11" applyFont="1" applyFill="1" applyBorder="1" applyAlignment="1"/>
    <xf numFmtId="0" fontId="77" fillId="2" borderId="3" xfId="0" applyFont="1" applyFill="1" applyBorder="1"/>
    <xf numFmtId="40" fontId="3" fillId="2" borderId="0" xfId="1" applyNumberFormat="1" applyFont="1" applyFill="1" applyBorder="1" applyAlignment="1">
      <alignment horizontal="center" vertical="top"/>
    </xf>
    <xf numFmtId="0" fontId="3" fillId="2" borderId="0" xfId="12" applyFont="1" applyFill="1" applyBorder="1" applyAlignment="1">
      <alignment horizontal="right" vertical="center"/>
    </xf>
    <xf numFmtId="44" fontId="0" fillId="2" borderId="1" xfId="0" applyNumberFormat="1" applyFill="1" applyBorder="1"/>
    <xf numFmtId="0" fontId="31" fillId="0" borderId="0" xfId="0" applyFont="1" applyAlignment="1">
      <alignment horizontal="center"/>
    </xf>
    <xf numFmtId="0" fontId="31" fillId="0" borderId="0" xfId="0" applyFont="1" applyBorder="1"/>
    <xf numFmtId="44" fontId="64" fillId="0" borderId="0" xfId="0" applyNumberFormat="1" applyFont="1" applyBorder="1"/>
    <xf numFmtId="44" fontId="64" fillId="0" borderId="1" xfId="0" applyNumberFormat="1" applyFont="1" applyBorder="1"/>
    <xf numFmtId="0" fontId="64" fillId="0" borderId="0" xfId="0" applyFont="1" applyBorder="1"/>
    <xf numFmtId="44" fontId="53" fillId="0" borderId="0" xfId="0" applyNumberFormat="1" applyFont="1" applyBorder="1"/>
    <xf numFmtId="44" fontId="53" fillId="0" borderId="0" xfId="0" applyNumberFormat="1" applyFont="1"/>
    <xf numFmtId="40" fontId="16" fillId="0" borderId="0" xfId="0" applyNumberFormat="1" applyFont="1"/>
    <xf numFmtId="44" fontId="69" fillId="8" borderId="19" xfId="0" applyNumberFormat="1" applyFont="1" applyFill="1" applyBorder="1" applyAlignment="1">
      <alignment wrapText="1"/>
    </xf>
    <xf numFmtId="44" fontId="60" fillId="8" borderId="0" xfId="0" applyNumberFormat="1" applyFont="1" applyFill="1"/>
    <xf numFmtId="4" fontId="3" fillId="2" borderId="0" xfId="11" applyNumberFormat="1" applyFont="1" applyFill="1" applyBorder="1" applyAlignment="1">
      <alignment horizontal="right"/>
    </xf>
    <xf numFmtId="39" fontId="60" fillId="0" borderId="0" xfId="0" applyNumberFormat="1" applyFont="1"/>
    <xf numFmtId="39" fontId="60" fillId="0" borderId="0" xfId="0" applyNumberFormat="1" applyFont="1" applyBorder="1"/>
    <xf numFmtId="39" fontId="65" fillId="0" borderId="17" xfId="0" applyNumberFormat="1" applyFont="1" applyBorder="1"/>
    <xf numFmtId="39" fontId="60" fillId="0" borderId="0" xfId="0" applyNumberFormat="1" applyFont="1" applyFill="1"/>
    <xf numFmtId="40" fontId="60" fillId="0" borderId="0" xfId="0" applyNumberFormat="1" applyFont="1"/>
    <xf numFmtId="40" fontId="60" fillId="0" borderId="0" xfId="0" applyNumberFormat="1" applyFont="1" applyFill="1"/>
    <xf numFmtId="0" fontId="30" fillId="0" borderId="0" xfId="0" applyFont="1" applyBorder="1"/>
    <xf numFmtId="44" fontId="59" fillId="0" borderId="6" xfId="0" applyNumberFormat="1" applyFont="1" applyFill="1" applyBorder="1"/>
    <xf numFmtId="44" fontId="59" fillId="0" borderId="6" xfId="0" applyNumberFormat="1" applyFont="1" applyBorder="1"/>
    <xf numFmtId="40" fontId="0" fillId="0" borderId="44" xfId="0" applyNumberFormat="1" applyFill="1" applyBorder="1"/>
    <xf numFmtId="8" fontId="18" fillId="0" borderId="19" xfId="0" applyNumberFormat="1" applyFont="1" applyBorder="1" applyAlignment="1">
      <alignment horizontal="center"/>
    </xf>
    <xf numFmtId="8" fontId="18" fillId="0" borderId="34" xfId="0" applyNumberFormat="1" applyFont="1" applyBorder="1" applyAlignment="1">
      <alignment horizontal="center"/>
    </xf>
    <xf numFmtId="40" fontId="6" fillId="0" borderId="23" xfId="1" applyNumberFormat="1" applyFont="1" applyBorder="1" applyAlignment="1">
      <alignment horizontal="right"/>
    </xf>
    <xf numFmtId="40" fontId="3" fillId="2" borderId="0" xfId="12" applyNumberFormat="1" applyFont="1" applyFill="1" applyBorder="1" applyAlignment="1">
      <alignment horizontal="centerContinuous"/>
    </xf>
    <xf numFmtId="40" fontId="3" fillId="2" borderId="1" xfId="12" applyNumberFormat="1" applyFont="1" applyFill="1" applyBorder="1" applyAlignment="1">
      <alignment horizontal="centerContinuous"/>
    </xf>
    <xf numFmtId="40" fontId="50" fillId="0" borderId="0" xfId="0" applyNumberFormat="1" applyFont="1"/>
    <xf numFmtId="40" fontId="5" fillId="6" borderId="19" xfId="1" applyNumberFormat="1" applyFont="1" applyFill="1" applyBorder="1" applyAlignment="1">
      <alignment horizontal="center" wrapText="1"/>
    </xf>
    <xf numFmtId="40" fontId="3" fillId="2" borderId="18" xfId="1" applyNumberFormat="1" applyFont="1" applyFill="1" applyBorder="1" applyAlignment="1">
      <alignment horizontal="centerContinuous"/>
    </xf>
    <xf numFmtId="0" fontId="6" fillId="0" borderId="0" xfId="8" applyFont="1" applyBorder="1"/>
    <xf numFmtId="40" fontId="6" fillId="0" borderId="0" xfId="1" applyNumberFormat="1" applyFont="1" applyBorder="1"/>
    <xf numFmtId="44" fontId="6" fillId="0" borderId="0" xfId="1" applyNumberFormat="1" applyFont="1" applyBorder="1"/>
    <xf numFmtId="44" fontId="4" fillId="0" borderId="9" xfId="1" applyNumberFormat="1" applyFont="1" applyBorder="1" applyAlignment="1">
      <alignment horizontal="right" wrapText="1"/>
    </xf>
    <xf numFmtId="44" fontId="4" fillId="0" borderId="9" xfId="1" applyNumberFormat="1" applyFont="1" applyBorder="1" applyAlignment="1">
      <alignment horizontal="right"/>
    </xf>
    <xf numFmtId="44" fontId="4" fillId="0" borderId="12" xfId="1" applyNumberFormat="1" applyFont="1" applyBorder="1" applyAlignment="1">
      <alignment horizontal="right"/>
    </xf>
    <xf numFmtId="44" fontId="6" fillId="0" borderId="52" xfId="1" applyNumberFormat="1" applyFont="1" applyBorder="1"/>
    <xf numFmtId="40" fontId="50" fillId="0" borderId="9" xfId="0" applyNumberFormat="1" applyFont="1" applyBorder="1"/>
    <xf numFmtId="40" fontId="50" fillId="0" borderId="12" xfId="0" applyNumberFormat="1" applyFont="1" applyBorder="1"/>
    <xf numFmtId="40" fontId="50" fillId="0" borderId="52" xfId="0" applyNumberFormat="1" applyFont="1" applyBorder="1"/>
    <xf numFmtId="40" fontId="56" fillId="0" borderId="23" xfId="0" applyNumberFormat="1" applyFont="1" applyBorder="1"/>
    <xf numFmtId="44" fontId="0" fillId="0" borderId="31" xfId="0" applyNumberFormat="1" applyBorder="1"/>
    <xf numFmtId="40" fontId="50" fillId="0" borderId="31" xfId="0" applyNumberFormat="1" applyFont="1" applyBorder="1"/>
    <xf numFmtId="40" fontId="50" fillId="0" borderId="15" xfId="0" applyNumberFormat="1" applyFont="1" applyBorder="1"/>
    <xf numFmtId="40" fontId="51" fillId="0" borderId="2" xfId="0" applyNumberFormat="1" applyFont="1" applyBorder="1"/>
    <xf numFmtId="40" fontId="63" fillId="0" borderId="0" xfId="0" applyNumberFormat="1" applyFont="1" applyBorder="1"/>
    <xf numFmtId="40" fontId="51" fillId="0" borderId="0" xfId="0" applyNumberFormat="1" applyFont="1" applyBorder="1"/>
    <xf numFmtId="40" fontId="3" fillId="2" borderId="3" xfId="12" applyNumberFormat="1" applyFont="1" applyFill="1" applyBorder="1" applyAlignment="1">
      <alignment horizontal="centerContinuous"/>
    </xf>
    <xf numFmtId="40" fontId="23" fillId="0" borderId="15" xfId="1" applyNumberFormat="1" applyFont="1" applyBorder="1" applyAlignment="1">
      <alignment horizontal="right" wrapText="1"/>
    </xf>
    <xf numFmtId="8" fontId="23" fillId="0" borderId="2" xfId="1" applyNumberFormat="1" applyFont="1" applyBorder="1"/>
    <xf numFmtId="8" fontId="23" fillId="0" borderId="5" xfId="1" applyNumberFormat="1" applyFont="1" applyBorder="1"/>
    <xf numFmtId="8" fontId="24" fillId="0" borderId="8" xfId="1" applyNumberFormat="1" applyFont="1" applyBorder="1"/>
    <xf numFmtId="40" fontId="24" fillId="0" borderId="8" xfId="1" applyNumberFormat="1" applyFont="1" applyBorder="1"/>
    <xf numFmtId="0" fontId="74" fillId="0" borderId="0" xfId="0" applyFont="1"/>
    <xf numFmtId="0" fontId="74" fillId="0" borderId="15" xfId="0" applyFont="1" applyBorder="1"/>
    <xf numFmtId="8" fontId="24" fillId="0" borderId="23" xfId="1" applyNumberFormat="1" applyFont="1" applyBorder="1"/>
    <xf numFmtId="40" fontId="24" fillId="0" borderId="23" xfId="1" applyNumberFormat="1" applyFont="1" applyBorder="1"/>
    <xf numFmtId="40" fontId="31" fillId="0" borderId="15" xfId="0" applyNumberFormat="1" applyFont="1" applyBorder="1"/>
    <xf numFmtId="40" fontId="31" fillId="0" borderId="2" xfId="0" applyNumberFormat="1" applyFont="1" applyBorder="1"/>
    <xf numFmtId="40" fontId="31" fillId="0" borderId="5" xfId="0" applyNumberFormat="1" applyFont="1" applyBorder="1"/>
    <xf numFmtId="43" fontId="6" fillId="0" borderId="2" xfId="1" applyFont="1" applyBorder="1" applyAlignment="1">
      <alignment horizontal="center" wrapText="1"/>
    </xf>
    <xf numFmtId="40" fontId="64" fillId="0" borderId="15" xfId="0" applyNumberFormat="1" applyFont="1" applyBorder="1"/>
    <xf numFmtId="40" fontId="64" fillId="0" borderId="2" xfId="0" applyNumberFormat="1" applyFont="1" applyBorder="1"/>
    <xf numFmtId="40" fontId="64" fillId="0" borderId="5" xfId="0" applyNumberFormat="1" applyFont="1" applyBorder="1"/>
    <xf numFmtId="40" fontId="64" fillId="0" borderId="23" xfId="0" applyNumberFormat="1" applyFont="1" applyBorder="1"/>
    <xf numFmtId="40" fontId="64" fillId="0" borderId="0" xfId="0" applyNumberFormat="1" applyFont="1"/>
    <xf numFmtId="0" fontId="3" fillId="2" borderId="3" xfId="4" applyFont="1" applyFill="1" applyBorder="1" applyAlignment="1">
      <alignment horizontal="left" vertical="top"/>
    </xf>
    <xf numFmtId="0" fontId="60" fillId="9" borderId="19" xfId="0" applyFont="1" applyFill="1" applyBorder="1" applyAlignment="1">
      <alignment wrapText="1"/>
    </xf>
    <xf numFmtId="44" fontId="0" fillId="0" borderId="25" xfId="0" applyNumberFormat="1" applyBorder="1"/>
    <xf numFmtId="44" fontId="0" fillId="0" borderId="27" xfId="0" applyNumberFormat="1" applyBorder="1"/>
    <xf numFmtId="44" fontId="0" fillId="0" borderId="29" xfId="0" applyNumberFormat="1" applyBorder="1"/>
    <xf numFmtId="40" fontId="0" fillId="6" borderId="19" xfId="0" applyNumberFormat="1" applyFill="1" applyBorder="1" applyAlignment="1">
      <alignment wrapText="1"/>
    </xf>
    <xf numFmtId="40" fontId="51" fillId="6" borderId="19" xfId="0" applyNumberFormat="1" applyFont="1" applyFill="1" applyBorder="1" applyAlignment="1">
      <alignment wrapText="1"/>
    </xf>
    <xf numFmtId="0" fontId="6" fillId="0" borderId="34" xfId="5" applyFont="1" applyBorder="1"/>
    <xf numFmtId="40" fontId="53" fillId="0" borderId="34" xfId="0" applyNumberFormat="1" applyFont="1" applyBorder="1"/>
    <xf numFmtId="40" fontId="0" fillId="0" borderId="21" xfId="0" applyNumberFormat="1" applyFont="1" applyBorder="1"/>
    <xf numFmtId="40" fontId="76" fillId="0" borderId="2" xfId="0" applyNumberFormat="1" applyFont="1" applyBorder="1"/>
    <xf numFmtId="40" fontId="0" fillId="0" borderId="2" xfId="0" applyNumberFormat="1" applyFont="1" applyBorder="1"/>
    <xf numFmtId="0" fontId="75" fillId="0" borderId="2" xfId="5" applyFont="1" applyFill="1" applyBorder="1"/>
    <xf numFmtId="40" fontId="76" fillId="0" borderId="2" xfId="0" applyNumberFormat="1" applyFont="1" applyFill="1" applyBorder="1"/>
    <xf numFmtId="0" fontId="4" fillId="0" borderId="28" xfId="5" quotePrefix="1" applyFont="1" applyFill="1" applyBorder="1"/>
    <xf numFmtId="40" fontId="0" fillId="0" borderId="7" xfId="0" applyNumberFormat="1" applyFont="1" applyBorder="1"/>
    <xf numFmtId="40" fontId="51" fillId="0" borderId="19" xfId="0" applyNumberFormat="1" applyFont="1" applyBorder="1"/>
    <xf numFmtId="0" fontId="49" fillId="0" borderId="19" xfId="0" applyFont="1" applyBorder="1"/>
    <xf numFmtId="44" fontId="13" fillId="0" borderId="42" xfId="0" applyNumberFormat="1" applyFont="1" applyBorder="1"/>
    <xf numFmtId="44" fontId="28" fillId="0" borderId="19" xfId="0" applyNumberFormat="1" applyFont="1" applyBorder="1"/>
    <xf numFmtId="0" fontId="31" fillId="0" borderId="6" xfId="0" applyFont="1" applyBorder="1"/>
    <xf numFmtId="0" fontId="18" fillId="0" borderId="6" xfId="0" applyFont="1" applyBorder="1"/>
    <xf numFmtId="44" fontId="15" fillId="0" borderId="34" xfId="0" applyNumberFormat="1" applyFont="1" applyBorder="1"/>
    <xf numFmtId="0" fontId="0" fillId="0" borderId="21" xfId="0" applyFill="1" applyBorder="1"/>
    <xf numFmtId="0" fontId="6" fillId="0" borderId="42" xfId="11" applyFont="1" applyBorder="1"/>
    <xf numFmtId="40" fontId="6" fillId="0" borderId="34" xfId="1" applyNumberFormat="1" applyFont="1" applyBorder="1"/>
    <xf numFmtId="44" fontId="6" fillId="0" borderId="34" xfId="1" applyNumberFormat="1" applyFont="1" applyBorder="1"/>
    <xf numFmtId="44" fontId="53" fillId="0" borderId="34" xfId="0" applyNumberFormat="1" applyFont="1" applyBorder="1"/>
    <xf numFmtId="0" fontId="4" fillId="0" borderId="21" xfId="11" applyFont="1" applyBorder="1"/>
    <xf numFmtId="0" fontId="4" fillId="0" borderId="2" xfId="11" applyFont="1" applyBorder="1"/>
    <xf numFmtId="0" fontId="4" fillId="0" borderId="28" xfId="11" quotePrefix="1" applyFont="1" applyBorder="1" applyAlignment="1">
      <alignment horizontal="left"/>
    </xf>
    <xf numFmtId="0" fontId="4" fillId="0" borderId="7" xfId="11" applyFont="1" applyBorder="1"/>
    <xf numFmtId="0" fontId="6" fillId="0" borderId="6" xfId="11" applyFont="1" applyBorder="1"/>
    <xf numFmtId="44" fontId="4" fillId="0" borderId="21" xfId="1" applyNumberFormat="1" applyFont="1" applyBorder="1"/>
    <xf numFmtId="0" fontId="4" fillId="0" borderId="7" xfId="5" applyFont="1" applyBorder="1"/>
    <xf numFmtId="44" fontId="4" fillId="0" borderId="7" xfId="1" applyNumberFormat="1" applyFont="1" applyBorder="1"/>
    <xf numFmtId="0" fontId="1" fillId="0" borderId="34" xfId="0" applyFont="1" applyBorder="1"/>
    <xf numFmtId="0" fontId="24" fillId="0" borderId="34" xfId="0" applyFont="1" applyFill="1" applyBorder="1"/>
    <xf numFmtId="44" fontId="56" fillId="0" borderId="34" xfId="0" applyNumberFormat="1" applyFont="1" applyBorder="1"/>
    <xf numFmtId="0" fontId="23" fillId="0" borderId="21" xfId="0" applyFont="1" applyBorder="1"/>
    <xf numFmtId="0" fontId="23" fillId="0" borderId="2" xfId="0" applyFont="1" applyBorder="1"/>
    <xf numFmtId="0" fontId="23" fillId="0" borderId="2" xfId="0" applyFont="1" applyFill="1" applyBorder="1"/>
    <xf numFmtId="0" fontId="23" fillId="0" borderId="28" xfId="0" applyFont="1" applyBorder="1" applyAlignment="1">
      <alignment horizontal="center"/>
    </xf>
    <xf numFmtId="0" fontId="23" fillId="0" borderId="7" xfId="0" applyFont="1" applyBorder="1"/>
    <xf numFmtId="44" fontId="50" fillId="0" borderId="21" xfId="0" applyNumberFormat="1" applyFont="1" applyFill="1" applyBorder="1"/>
    <xf numFmtId="0" fontId="4" fillId="0" borderId="34" xfId="6" quotePrefix="1" applyFont="1" applyFill="1" applyBorder="1"/>
    <xf numFmtId="0" fontId="6" fillId="0" borderId="34" xfId="6" applyFont="1" applyFill="1" applyBorder="1"/>
    <xf numFmtId="44" fontId="6" fillId="0" borderId="34" xfId="1" applyNumberFormat="1" applyFont="1" applyFill="1" applyBorder="1"/>
    <xf numFmtId="44" fontId="4" fillId="0" borderId="2" xfId="1" applyNumberFormat="1" applyFont="1" applyFill="1" applyBorder="1"/>
    <xf numFmtId="44" fontId="0" fillId="0" borderId="7" xfId="0" applyNumberFormat="1" applyFill="1" applyBorder="1"/>
    <xf numFmtId="0" fontId="18" fillId="0" borderId="34" xfId="0" applyFont="1" applyBorder="1"/>
    <xf numFmtId="0" fontId="6" fillId="0" borderId="34" xfId="0" applyFont="1" applyBorder="1"/>
    <xf numFmtId="44" fontId="63" fillId="0" borderId="2" xfId="0" applyNumberFormat="1" applyFont="1" applyFill="1" applyBorder="1"/>
    <xf numFmtId="40" fontId="65" fillId="0" borderId="17" xfId="0" applyNumberFormat="1" applyFont="1" applyBorder="1"/>
    <xf numFmtId="0" fontId="37" fillId="0" borderId="17" xfId="7" applyFont="1" applyFill="1" applyBorder="1"/>
    <xf numFmtId="44" fontId="69" fillId="0" borderId="20" xfId="0" applyNumberFormat="1" applyFont="1" applyBorder="1" applyAlignment="1">
      <alignment wrapText="1"/>
    </xf>
    <xf numFmtId="0" fontId="60" fillId="9" borderId="20" xfId="0" applyFont="1" applyFill="1" applyBorder="1" applyAlignment="1">
      <alignment wrapText="1"/>
    </xf>
    <xf numFmtId="39" fontId="60" fillId="0" borderId="21" xfId="0" applyNumberFormat="1" applyFont="1" applyBorder="1"/>
    <xf numFmtId="44" fontId="82" fillId="0" borderId="2" xfId="0" applyNumberFormat="1" applyFont="1" applyBorder="1"/>
    <xf numFmtId="39" fontId="60" fillId="0" borderId="2" xfId="0" applyNumberFormat="1" applyFont="1" applyBorder="1"/>
    <xf numFmtId="0" fontId="35" fillId="0" borderId="28" xfId="0" quotePrefix="1" applyFont="1" applyBorder="1"/>
    <xf numFmtId="0" fontId="35" fillId="0" borderId="7" xfId="0" applyFont="1" applyBorder="1"/>
    <xf numFmtId="44" fontId="82" fillId="0" borderId="7" xfId="0" applyNumberFormat="1" applyFont="1" applyBorder="1"/>
    <xf numFmtId="39" fontId="60" fillId="0" borderId="7" xfId="0" applyNumberFormat="1" applyFont="1" applyBorder="1"/>
    <xf numFmtId="0" fontId="41" fillId="0" borderId="46" xfId="0" applyFont="1" applyBorder="1"/>
    <xf numFmtId="0" fontId="41" fillId="0" borderId="46" xfId="0" applyFont="1" applyFill="1" applyBorder="1"/>
    <xf numFmtId="44" fontId="41" fillId="0" borderId="46" xfId="0" applyNumberFormat="1" applyFont="1" applyBorder="1"/>
    <xf numFmtId="8" fontId="41" fillId="0" borderId="46" xfId="0" applyNumberFormat="1" applyFont="1" applyBorder="1"/>
    <xf numFmtId="44" fontId="42" fillId="0" borderId="46" xfId="0" applyNumberFormat="1" applyFont="1" applyBorder="1"/>
    <xf numFmtId="10" fontId="42" fillId="0" borderId="46" xfId="0" applyNumberFormat="1" applyFont="1" applyBorder="1"/>
    <xf numFmtId="0" fontId="60" fillId="0" borderId="46" xfId="0" applyFont="1" applyBorder="1"/>
    <xf numFmtId="10" fontId="69" fillId="0" borderId="46" xfId="0" applyNumberFormat="1" applyFont="1" applyBorder="1"/>
    <xf numFmtId="0" fontId="60" fillId="0" borderId="53" xfId="0" applyFont="1" applyBorder="1"/>
    <xf numFmtId="44" fontId="46" fillId="0" borderId="46" xfId="0" applyNumberFormat="1" applyFont="1" applyBorder="1"/>
    <xf numFmtId="44" fontId="82" fillId="0" borderId="46" xfId="0" applyNumberFormat="1" applyFont="1" applyBorder="1"/>
    <xf numFmtId="39" fontId="69" fillId="0" borderId="20" xfId="0" applyNumberFormat="1" applyFont="1" applyBorder="1"/>
    <xf numFmtId="44" fontId="65" fillId="0" borderId="34" xfId="0" applyNumberFormat="1" applyFont="1" applyBorder="1"/>
    <xf numFmtId="44" fontId="60" fillId="8" borderId="2" xfId="0" applyNumberFormat="1" applyFont="1" applyFill="1" applyBorder="1"/>
    <xf numFmtId="40" fontId="60" fillId="9" borderId="2" xfId="0" applyNumberFormat="1" applyFont="1" applyFill="1" applyBorder="1"/>
    <xf numFmtId="39" fontId="60" fillId="0" borderId="2" xfId="0" applyNumberFormat="1" applyFont="1" applyBorder="1" applyAlignment="1">
      <alignment wrapText="1"/>
    </xf>
    <xf numFmtId="40" fontId="60" fillId="0" borderId="2" xfId="0" applyNumberFormat="1" applyFont="1" applyBorder="1" applyAlignment="1">
      <alignment wrapText="1"/>
    </xf>
    <xf numFmtId="44" fontId="60" fillId="8" borderId="7" xfId="0" applyNumberFormat="1" applyFont="1" applyFill="1" applyBorder="1"/>
    <xf numFmtId="40" fontId="60" fillId="9" borderId="7" xfId="0" applyNumberFormat="1" applyFont="1" applyFill="1" applyBorder="1"/>
    <xf numFmtId="39" fontId="65" fillId="0" borderId="54" xfId="0" applyNumberFormat="1" applyFont="1" applyBorder="1"/>
    <xf numFmtId="40" fontId="65" fillId="0" borderId="55" xfId="0" applyNumberFormat="1" applyFont="1" applyBorder="1"/>
    <xf numFmtId="44" fontId="41" fillId="0" borderId="10" xfId="0" applyNumberFormat="1" applyFont="1" applyFill="1" applyBorder="1"/>
    <xf numFmtId="8" fontId="41" fillId="0" borderId="10" xfId="0" applyNumberFormat="1" applyFont="1" applyFill="1" applyBorder="1"/>
    <xf numFmtId="44" fontId="42" fillId="0" borderId="10" xfId="0" applyNumberFormat="1" applyFont="1" applyFill="1" applyBorder="1"/>
    <xf numFmtId="10" fontId="60" fillId="0" borderId="10" xfId="0" applyNumberFormat="1" applyFont="1" applyBorder="1"/>
    <xf numFmtId="39" fontId="41" fillId="0" borderId="10" xfId="0" applyNumberFormat="1" applyFont="1" applyFill="1" applyBorder="1"/>
    <xf numFmtId="40" fontId="41" fillId="0" borderId="10" xfId="0" applyNumberFormat="1" applyFont="1" applyFill="1" applyBorder="1"/>
    <xf numFmtId="40" fontId="69" fillId="0" borderId="20" xfId="0" applyNumberFormat="1" applyFont="1" applyBorder="1"/>
    <xf numFmtId="40" fontId="69" fillId="0" borderId="46" xfId="0" applyNumberFormat="1" applyFont="1" applyBorder="1"/>
    <xf numFmtId="40" fontId="60" fillId="0" borderId="19" xfId="0" applyNumberFormat="1" applyFont="1" applyBorder="1"/>
    <xf numFmtId="10" fontId="16" fillId="0" borderId="0" xfId="0" applyNumberFormat="1" applyFont="1"/>
    <xf numFmtId="10" fontId="16" fillId="2" borderId="0" xfId="0" applyNumberFormat="1" applyFont="1" applyFill="1"/>
    <xf numFmtId="0" fontId="19" fillId="0" borderId="19" xfId="0" applyFont="1" applyBorder="1" applyAlignment="1">
      <alignment wrapText="1"/>
    </xf>
    <xf numFmtId="0" fontId="17" fillId="0" borderId="34" xfId="0" applyFont="1" applyBorder="1"/>
    <xf numFmtId="0" fontId="30" fillId="0" borderId="34" xfId="0" applyFont="1" applyBorder="1"/>
    <xf numFmtId="0" fontId="17" fillId="0" borderId="28" xfId="0" quotePrefix="1" applyFont="1" applyBorder="1"/>
    <xf numFmtId="0" fontId="4" fillId="5" borderId="24" xfId="2" quotePrefix="1" applyFont="1" applyFill="1" applyBorder="1"/>
    <xf numFmtId="0" fontId="4" fillId="5" borderId="25" xfId="2" applyFont="1" applyFill="1" applyBorder="1"/>
    <xf numFmtId="40" fontId="0" fillId="5" borderId="35" xfId="0" applyNumberFormat="1" applyFill="1" applyBorder="1"/>
    <xf numFmtId="0" fontId="0" fillId="0" borderId="37" xfId="0" applyBorder="1"/>
    <xf numFmtId="40" fontId="54" fillId="0" borderId="19" xfId="0" applyNumberFormat="1" applyFont="1" applyBorder="1"/>
    <xf numFmtId="0" fontId="6" fillId="0" borderId="19" xfId="13" applyFont="1" applyFill="1" applyBorder="1"/>
    <xf numFmtId="40" fontId="3" fillId="2" borderId="0" xfId="11" applyNumberFormat="1" applyFont="1" applyFill="1" applyBorder="1" applyAlignment="1">
      <alignment horizontal="right"/>
    </xf>
    <xf numFmtId="40" fontId="76" fillId="0" borderId="27" xfId="0" applyNumberFormat="1" applyFont="1" applyFill="1" applyBorder="1"/>
    <xf numFmtId="40" fontId="0" fillId="0" borderId="27" xfId="0" applyNumberFormat="1" applyFont="1" applyFill="1" applyBorder="1"/>
    <xf numFmtId="44" fontId="0" fillId="0" borderId="15" xfId="0" applyNumberFormat="1" applyBorder="1"/>
    <xf numFmtId="44" fontId="0" fillId="0" borderId="27" xfId="0" applyNumberFormat="1" applyFill="1" applyBorder="1"/>
    <xf numFmtId="44" fontId="0" fillId="0" borderId="25" xfId="0" applyNumberFormat="1" applyFill="1" applyBorder="1"/>
    <xf numFmtId="44" fontId="0" fillId="0" borderId="27" xfId="0" applyNumberFormat="1" applyFont="1" applyFill="1" applyBorder="1"/>
    <xf numFmtId="44" fontId="0" fillId="0" borderId="29" xfId="0" applyNumberFormat="1" applyFill="1" applyBorder="1"/>
    <xf numFmtId="44" fontId="0" fillId="0" borderId="20" xfId="0" applyNumberFormat="1" applyBorder="1"/>
    <xf numFmtId="44" fontId="0" fillId="0" borderId="36" xfId="0" applyNumberFormat="1" applyBorder="1" applyAlignment="1">
      <alignment wrapText="1"/>
    </xf>
    <xf numFmtId="44" fontId="67" fillId="0" borderId="22" xfId="0" applyNumberFormat="1" applyFont="1" applyBorder="1"/>
    <xf numFmtId="44" fontId="22" fillId="0" borderId="17" xfId="2" applyNumberFormat="1" applyFont="1" applyBorder="1"/>
    <xf numFmtId="44" fontId="69" fillId="0" borderId="19" xfId="0" applyNumberFormat="1" applyFont="1" applyBorder="1" applyAlignment="1">
      <alignment wrapText="1"/>
    </xf>
    <xf numFmtId="44" fontId="60" fillId="0" borderId="25" xfId="0" applyNumberFormat="1" applyFont="1" applyBorder="1"/>
    <xf numFmtId="44" fontId="60" fillId="0" borderId="27" xfId="0" applyNumberFormat="1" applyFont="1" applyBorder="1"/>
    <xf numFmtId="44" fontId="60" fillId="0" borderId="29" xfId="0" applyNumberFormat="1" applyFont="1" applyBorder="1"/>
    <xf numFmtId="44" fontId="60" fillId="0" borderId="9" xfId="0" applyNumberFormat="1" applyFont="1" applyBorder="1"/>
    <xf numFmtId="44" fontId="60" fillId="0" borderId="14" xfId="0" applyNumberFormat="1" applyFont="1" applyBorder="1"/>
    <xf numFmtId="4" fontId="0" fillId="0" borderId="25" xfId="0" applyNumberFormat="1" applyBorder="1"/>
    <xf numFmtId="4" fontId="0" fillId="0" borderId="27" xfId="0" applyNumberFormat="1" applyBorder="1"/>
    <xf numFmtId="4" fontId="0" fillId="0" borderId="27" xfId="0" applyNumberFormat="1" applyFill="1" applyBorder="1"/>
    <xf numFmtId="4" fontId="0" fillId="0" borderId="29" xfId="0" applyNumberFormat="1" applyBorder="1"/>
    <xf numFmtId="0" fontId="17" fillId="0" borderId="36" xfId="0" applyFont="1" applyBorder="1"/>
    <xf numFmtId="0" fontId="17" fillId="0" borderId="37" xfId="0" applyFont="1" applyBorder="1"/>
    <xf numFmtId="0" fontId="30" fillId="0" borderId="33" xfId="0" applyFont="1" applyBorder="1"/>
    <xf numFmtId="0" fontId="3" fillId="2" borderId="0" xfId="11" quotePrefix="1" applyFont="1" applyFill="1" applyBorder="1" applyAlignment="1">
      <alignment horizontal="left" vertical="top"/>
    </xf>
    <xf numFmtId="0" fontId="3" fillId="2" borderId="0" xfId="12" quotePrefix="1" applyFont="1" applyFill="1" applyBorder="1" applyAlignment="1">
      <alignment horizontal="centerContinuous"/>
    </xf>
    <xf numFmtId="0" fontId="0" fillId="0" borderId="0" xfId="0" quotePrefix="1" applyAlignment="1">
      <alignment horizontal="center"/>
    </xf>
    <xf numFmtId="0" fontId="35" fillId="0" borderId="26" xfId="0" quotePrefix="1" applyFont="1" applyBorder="1"/>
    <xf numFmtId="40" fontId="16" fillId="2" borderId="0" xfId="0" applyNumberFormat="1" applyFont="1" applyFill="1"/>
    <xf numFmtId="40" fontId="16" fillId="0" borderId="35" xfId="0" applyNumberFormat="1" applyFont="1" applyBorder="1"/>
    <xf numFmtId="40" fontId="16" fillId="0" borderId="36" xfId="0" applyNumberFormat="1" applyFont="1" applyBorder="1"/>
    <xf numFmtId="40" fontId="16" fillId="0" borderId="37" xfId="0" applyNumberFormat="1" applyFont="1" applyBorder="1"/>
    <xf numFmtId="40" fontId="16" fillId="0" borderId="27" xfId="0" applyNumberFormat="1" applyFont="1" applyBorder="1"/>
    <xf numFmtId="40" fontId="16" fillId="0" borderId="29" xfId="0" applyNumberFormat="1" applyFont="1" applyBorder="1"/>
    <xf numFmtId="0" fontId="6" fillId="0" borderId="0" xfId="5" applyFont="1" applyFill="1" applyBorder="1"/>
    <xf numFmtId="8" fontId="60" fillId="0" borderId="27" xfId="0" applyNumberFormat="1" applyFont="1" applyBorder="1"/>
    <xf numFmtId="39" fontId="65" fillId="4" borderId="17" xfId="0" applyNumberFormat="1" applyFont="1" applyFill="1" applyBorder="1"/>
    <xf numFmtId="44" fontId="60" fillId="0" borderId="27" xfId="0" applyNumberFormat="1" applyFont="1" applyFill="1" applyBorder="1"/>
    <xf numFmtId="14" fontId="3" fillId="2" borderId="0" xfId="11" applyNumberFormat="1" applyFont="1" applyFill="1" applyBorder="1" applyAlignment="1">
      <alignment horizontal="right"/>
    </xf>
    <xf numFmtId="165" fontId="3" fillId="2" borderId="0" xfId="11" applyNumberFormat="1" applyFont="1" applyFill="1" applyBorder="1" applyAlignment="1">
      <alignment horizontal="right"/>
    </xf>
    <xf numFmtId="40" fontId="76" fillId="0" borderId="9" xfId="0" applyNumberFormat="1" applyFont="1" applyFill="1" applyBorder="1"/>
    <xf numFmtId="40" fontId="0" fillId="0" borderId="9" xfId="0" applyNumberFormat="1" applyFont="1" applyFill="1" applyBorder="1"/>
    <xf numFmtId="40" fontId="0" fillId="0" borderId="14" xfId="0" applyNumberFormat="1" applyFill="1" applyBorder="1"/>
    <xf numFmtId="0" fontId="0" fillId="0" borderId="35" xfId="0" applyBorder="1"/>
    <xf numFmtId="0" fontId="0" fillId="0" borderId="36" xfId="0" applyFill="1" applyBorder="1"/>
    <xf numFmtId="0" fontId="76" fillId="0" borderId="36" xfId="0" applyFont="1" applyFill="1" applyBorder="1"/>
    <xf numFmtId="0" fontId="0" fillId="0" borderId="36" xfId="0" applyFont="1" applyFill="1" applyBorder="1"/>
    <xf numFmtId="0" fontId="0" fillId="0" borderId="35" xfId="0" applyFill="1" applyBorder="1"/>
    <xf numFmtId="44" fontId="6" fillId="0" borderId="33" xfId="11" applyNumberFormat="1" applyFont="1" applyBorder="1"/>
    <xf numFmtId="40" fontId="49" fillId="4" borderId="19" xfId="0" applyNumberFormat="1" applyFont="1" applyFill="1" applyBorder="1" applyAlignment="1">
      <alignment wrapText="1"/>
    </xf>
    <xf numFmtId="44" fontId="0" fillId="0" borderId="9" xfId="0" applyNumberFormat="1" applyFill="1" applyBorder="1"/>
    <xf numFmtId="0" fontId="4" fillId="0" borderId="32" xfId="0" applyFont="1" applyBorder="1" applyAlignment="1">
      <alignment horizontal="center"/>
    </xf>
    <xf numFmtId="0" fontId="4" fillId="0" borderId="5" xfId="0" applyFont="1" applyBorder="1"/>
    <xf numFmtId="44" fontId="0" fillId="0" borderId="59" xfId="0" applyNumberFormat="1" applyBorder="1"/>
    <xf numFmtId="44" fontId="50" fillId="0" borderId="5" xfId="0" applyNumberFormat="1" applyFont="1" applyFill="1" applyBorder="1"/>
    <xf numFmtId="44" fontId="0" fillId="0" borderId="12" xfId="0" applyNumberFormat="1" applyBorder="1"/>
    <xf numFmtId="0" fontId="0" fillId="0" borderId="40" xfId="0" applyBorder="1"/>
    <xf numFmtId="44" fontId="51" fillId="0" borderId="19" xfId="0" applyNumberFormat="1" applyFont="1" applyBorder="1"/>
    <xf numFmtId="0" fontId="63" fillId="0" borderId="19" xfId="0" applyFont="1" applyBorder="1"/>
    <xf numFmtId="0" fontId="22" fillId="0" borderId="19" xfId="5" applyFont="1" applyBorder="1"/>
    <xf numFmtId="0" fontId="3" fillId="0" borderId="19" xfId="5" applyFont="1" applyBorder="1"/>
    <xf numFmtId="40" fontId="55" fillId="0" borderId="19" xfId="0" applyNumberFormat="1" applyFont="1" applyBorder="1" applyAlignment="1">
      <alignment wrapText="1"/>
    </xf>
    <xf numFmtId="40" fontId="55" fillId="6" borderId="19" xfId="0" applyNumberFormat="1" applyFont="1" applyFill="1" applyBorder="1" applyAlignment="1">
      <alignment wrapText="1"/>
    </xf>
    <xf numFmtId="40" fontId="55" fillId="4" borderId="19" xfId="0" applyNumberFormat="1" applyFont="1" applyFill="1" applyBorder="1" applyAlignment="1">
      <alignment wrapText="1"/>
    </xf>
    <xf numFmtId="40" fontId="55" fillId="0" borderId="19" xfId="0" applyNumberFormat="1" applyFont="1" applyFill="1" applyBorder="1" applyAlignment="1">
      <alignment wrapText="1"/>
    </xf>
    <xf numFmtId="44" fontId="63" fillId="0" borderId="21" xfId="0" applyNumberFormat="1" applyFont="1" applyFill="1" applyBorder="1"/>
    <xf numFmtId="0" fontId="0" fillId="0" borderId="9" xfId="0" applyFill="1" applyBorder="1"/>
    <xf numFmtId="0" fontId="0" fillId="0" borderId="12" xfId="0" applyFill="1" applyBorder="1"/>
    <xf numFmtId="0" fontId="4" fillId="0" borderId="35" xfId="13" quotePrefix="1" applyFont="1" applyBorder="1"/>
    <xf numFmtId="0" fontId="4" fillId="0" borderId="36" xfId="13" quotePrefix="1" applyFont="1" applyBorder="1"/>
    <xf numFmtId="0" fontId="4" fillId="0" borderId="36" xfId="13" quotePrefix="1" applyFont="1" applyFill="1" applyBorder="1"/>
    <xf numFmtId="0" fontId="4" fillId="0" borderId="36" xfId="13" quotePrefix="1" applyFont="1" applyFill="1" applyBorder="1" applyAlignment="1">
      <alignment horizontal="left"/>
    </xf>
    <xf numFmtId="0" fontId="4" fillId="0" borderId="36" xfId="11" quotePrefix="1" applyFont="1" applyFill="1" applyBorder="1"/>
    <xf numFmtId="0" fontId="4" fillId="0" borderId="35" xfId="13" applyFont="1" applyBorder="1"/>
    <xf numFmtId="0" fontId="4" fillId="0" borderId="36" xfId="13" applyFont="1" applyBorder="1"/>
    <xf numFmtId="0" fontId="4" fillId="0" borderId="36" xfId="13" applyFont="1" applyFill="1" applyBorder="1"/>
    <xf numFmtId="0" fontId="4" fillId="0" borderId="36" xfId="11" applyFont="1" applyFill="1" applyBorder="1"/>
    <xf numFmtId="0" fontId="4" fillId="0" borderId="36" xfId="9" applyFont="1" applyFill="1" applyBorder="1"/>
    <xf numFmtId="0" fontId="4" fillId="0" borderId="36" xfId="5" applyFont="1" applyFill="1" applyBorder="1"/>
    <xf numFmtId="10" fontId="0" fillId="0" borderId="56" xfId="0" applyNumberFormat="1" applyBorder="1"/>
    <xf numFmtId="10" fontId="0" fillId="0" borderId="57" xfId="0" applyNumberFormat="1" applyBorder="1"/>
    <xf numFmtId="0" fontId="4" fillId="0" borderId="40" xfId="13" quotePrefix="1" applyFont="1" applyFill="1" applyBorder="1" applyAlignment="1">
      <alignment horizontal="left"/>
    </xf>
    <xf numFmtId="0" fontId="4" fillId="0" borderId="40" xfId="13" applyFont="1" applyFill="1" applyBorder="1"/>
    <xf numFmtId="40" fontId="0" fillId="0" borderId="40" xfId="0" applyNumberFormat="1" applyFill="1" applyBorder="1"/>
    <xf numFmtId="14" fontId="3" fillId="2" borderId="3" xfId="4" applyNumberFormat="1" applyFont="1" applyFill="1" applyBorder="1" applyAlignment="1">
      <alignment horizontal="centerContinuous"/>
    </xf>
    <xf numFmtId="44" fontId="56" fillId="0" borderId="19" xfId="0" applyNumberFormat="1" applyFont="1" applyBorder="1"/>
    <xf numFmtId="40" fontId="55" fillId="0" borderId="19" xfId="0" applyNumberFormat="1" applyFont="1" applyBorder="1"/>
    <xf numFmtId="40" fontId="0" fillId="0" borderId="19" xfId="0" applyNumberFormat="1" applyBorder="1"/>
    <xf numFmtId="0" fontId="4" fillId="0" borderId="26" xfId="5" quotePrefix="1" applyFont="1" applyFill="1" applyBorder="1" applyAlignment="1">
      <alignment horizontal="right"/>
    </xf>
    <xf numFmtId="0" fontId="4" fillId="0" borderId="32" xfId="5" quotePrefix="1" applyFont="1" applyFill="1" applyBorder="1"/>
    <xf numFmtId="0" fontId="4" fillId="0" borderId="5" xfId="5" applyFont="1" applyFill="1" applyBorder="1"/>
    <xf numFmtId="40" fontId="49" fillId="0" borderId="19" xfId="0" applyNumberFormat="1" applyFont="1" applyBorder="1"/>
    <xf numFmtId="44" fontId="0" fillId="0" borderId="59" xfId="0" applyNumberFormat="1" applyFill="1" applyBorder="1"/>
    <xf numFmtId="44" fontId="0" fillId="0" borderId="5" xfId="0" applyNumberFormat="1" applyFill="1" applyBorder="1"/>
    <xf numFmtId="0" fontId="4" fillId="0" borderId="32" xfId="6" quotePrefix="1" applyFont="1" applyFill="1" applyBorder="1" applyAlignment="1">
      <alignment horizontal="left"/>
    </xf>
    <xf numFmtId="8" fontId="3" fillId="2" borderId="3" xfId="11" applyNumberFormat="1" applyFont="1" applyFill="1" applyBorder="1" applyAlignment="1">
      <alignment horizontal="left" vertical="top"/>
    </xf>
    <xf numFmtId="8" fontId="3" fillId="2" borderId="0" xfId="11" applyNumberFormat="1" applyFont="1" applyFill="1" applyBorder="1" applyAlignment="1">
      <alignment horizontal="left" vertical="top"/>
    </xf>
    <xf numFmtId="8" fontId="51" fillId="6" borderId="19" xfId="0" applyNumberFormat="1" applyFont="1" applyFill="1" applyBorder="1" applyAlignment="1">
      <alignment wrapText="1"/>
    </xf>
    <xf numFmtId="8" fontId="55" fillId="0" borderId="19" xfId="0" applyNumberFormat="1" applyFont="1" applyBorder="1"/>
    <xf numFmtId="8" fontId="0" fillId="0" borderId="35" xfId="0" applyNumberFormat="1" applyFill="1" applyBorder="1"/>
    <xf numFmtId="8" fontId="0" fillId="0" borderId="35" xfId="0" applyNumberFormat="1" applyBorder="1"/>
    <xf numFmtId="8" fontId="0" fillId="0" borderId="36" xfId="0" applyNumberFormat="1" applyBorder="1"/>
    <xf numFmtId="8" fontId="0" fillId="0" borderId="37" xfId="0" applyNumberFormat="1" applyBorder="1"/>
    <xf numFmtId="8" fontId="18" fillId="0" borderId="19" xfId="0" applyNumberFormat="1" applyFont="1" applyBorder="1"/>
    <xf numFmtId="8" fontId="0" fillId="0" borderId="0" xfId="0" applyNumberFormat="1"/>
    <xf numFmtId="40" fontId="53" fillId="0" borderId="8" xfId="0" applyNumberFormat="1" applyFont="1" applyBorder="1"/>
    <xf numFmtId="40" fontId="53" fillId="0" borderId="17" xfId="0" applyNumberFormat="1" applyFont="1" applyBorder="1"/>
    <xf numFmtId="40" fontId="18" fillId="0" borderId="17" xfId="0" applyNumberFormat="1" applyFont="1" applyBorder="1"/>
    <xf numFmtId="40" fontId="4" fillId="0" borderId="21" xfId="0" applyNumberFormat="1" applyFont="1" applyBorder="1"/>
    <xf numFmtId="40" fontId="4" fillId="0" borderId="2" xfId="0" applyNumberFormat="1" applyFont="1" applyBorder="1"/>
    <xf numFmtId="40" fontId="53" fillId="0" borderId="46" xfId="0" applyNumberFormat="1" applyFont="1" applyBorder="1"/>
    <xf numFmtId="40" fontId="6" fillId="0" borderId="46" xfId="1" applyNumberFormat="1" applyFont="1" applyBorder="1" applyAlignment="1">
      <alignment horizontal="center" wrapText="1"/>
    </xf>
    <xf numFmtId="165" fontId="3" fillId="2" borderId="0" xfId="4" applyNumberFormat="1" applyFont="1" applyFill="1" applyBorder="1" applyAlignment="1">
      <alignment horizontal="centerContinuous"/>
    </xf>
    <xf numFmtId="44" fontId="0" fillId="4" borderId="27" xfId="0" applyNumberFormat="1" applyFill="1" applyBorder="1"/>
    <xf numFmtId="40" fontId="67" fillId="0" borderId="0" xfId="0" applyNumberFormat="1" applyFont="1" applyBorder="1"/>
    <xf numFmtId="44" fontId="60" fillId="0" borderId="25" xfId="0" applyNumberFormat="1" applyFont="1" applyFill="1" applyBorder="1"/>
    <xf numFmtId="44" fontId="60" fillId="0" borderId="27" xfId="0" applyNumberFormat="1" applyFont="1" applyFill="1" applyBorder="1" applyAlignment="1">
      <alignment wrapText="1"/>
    </xf>
    <xf numFmtId="44" fontId="60" fillId="0" borderId="29" xfId="0" applyNumberFormat="1" applyFont="1" applyFill="1" applyBorder="1"/>
    <xf numFmtId="44" fontId="65" fillId="0" borderId="55" xfId="0" applyNumberFormat="1" applyFont="1" applyFill="1" applyBorder="1"/>
    <xf numFmtId="44" fontId="69" fillId="0" borderId="0" xfId="0" applyNumberFormat="1" applyFont="1" applyFill="1"/>
    <xf numFmtId="44" fontId="69" fillId="0" borderId="0" xfId="0" applyNumberFormat="1" applyFont="1" applyFill="1" applyBorder="1"/>
    <xf numFmtId="44" fontId="60" fillId="0" borderId="30" xfId="0" applyNumberFormat="1" applyFont="1" applyFill="1" applyBorder="1"/>
    <xf numFmtId="44" fontId="60" fillId="0" borderId="9" xfId="0" applyNumberFormat="1" applyFont="1" applyFill="1" applyBorder="1"/>
    <xf numFmtId="8" fontId="69" fillId="0" borderId="9" xfId="0" applyNumberFormat="1" applyFont="1" applyFill="1" applyBorder="1"/>
    <xf numFmtId="44" fontId="63" fillId="0" borderId="7" xfId="0" applyNumberFormat="1" applyFont="1" applyFill="1" applyBorder="1"/>
    <xf numFmtId="40" fontId="69" fillId="0" borderId="0" xfId="0" applyNumberFormat="1" applyFont="1" applyFill="1"/>
    <xf numFmtId="0" fontId="69" fillId="0" borderId="0" xfId="0" applyFont="1" applyFill="1"/>
    <xf numFmtId="0" fontId="60" fillId="0" borderId="0" xfId="0" applyFont="1" applyFill="1" applyBorder="1"/>
    <xf numFmtId="0" fontId="69" fillId="0" borderId="0" xfId="0" applyFont="1" applyFill="1" applyBorder="1"/>
    <xf numFmtId="0" fontId="41" fillId="0" borderId="0" xfId="0" applyFont="1" applyFill="1"/>
    <xf numFmtId="39" fontId="60" fillId="2" borderId="0" xfId="0" applyNumberFormat="1" applyFont="1" applyFill="1"/>
    <xf numFmtId="39" fontId="69" fillId="0" borderId="19" xfId="0" applyNumberFormat="1" applyFont="1" applyBorder="1" applyAlignment="1">
      <alignment horizontal="center" wrapText="1"/>
    </xf>
    <xf numFmtId="39" fontId="60" fillId="0" borderId="35" xfId="0" applyNumberFormat="1" applyFont="1" applyBorder="1"/>
    <xf numFmtId="39" fontId="60" fillId="0" borderId="36" xfId="0" applyNumberFormat="1" applyFont="1" applyBorder="1"/>
    <xf numFmtId="39" fontId="60" fillId="0" borderId="37" xfId="0" applyNumberFormat="1" applyFont="1" applyBorder="1"/>
    <xf numFmtId="39" fontId="82" fillId="0" borderId="46" xfId="0" applyNumberFormat="1" applyFont="1" applyBorder="1"/>
    <xf numFmtId="39" fontId="69" fillId="0" borderId="0" xfId="0" applyNumberFormat="1" applyFont="1" applyFill="1"/>
    <xf numFmtId="39" fontId="69" fillId="0" borderId="0" xfId="0" applyNumberFormat="1" applyFont="1" applyFill="1" applyBorder="1"/>
    <xf numFmtId="44" fontId="69" fillId="4" borderId="19" xfId="0" applyNumberFormat="1" applyFont="1" applyFill="1" applyBorder="1" applyAlignment="1">
      <alignment wrapText="1"/>
    </xf>
    <xf numFmtId="40" fontId="54" fillId="0" borderId="0" xfId="0" applyNumberFormat="1" applyFont="1"/>
    <xf numFmtId="0" fontId="3" fillId="2" borderId="0" xfId="4" quotePrefix="1" applyFont="1" applyFill="1" applyBorder="1" applyAlignment="1">
      <alignment horizontal="centerContinuous"/>
    </xf>
    <xf numFmtId="0" fontId="75" fillId="0" borderId="9" xfId="5" applyFont="1" applyBorder="1"/>
    <xf numFmtId="0" fontId="4" fillId="0" borderId="9" xfId="5" applyFont="1" applyBorder="1"/>
    <xf numFmtId="0" fontId="4" fillId="0" borderId="9" xfId="5" applyFont="1" applyFill="1" applyBorder="1"/>
    <xf numFmtId="0" fontId="75" fillId="0" borderId="9" xfId="5" applyFont="1" applyFill="1" applyBorder="1"/>
    <xf numFmtId="0" fontId="4" fillId="0" borderId="9" xfId="11" applyFont="1" applyFill="1" applyBorder="1"/>
    <xf numFmtId="0" fontId="4" fillId="0" borderId="12" xfId="5" applyFont="1" applyFill="1" applyBorder="1"/>
    <xf numFmtId="0" fontId="0" fillId="0" borderId="6" xfId="0" applyFill="1" applyBorder="1"/>
    <xf numFmtId="8" fontId="0" fillId="0" borderId="6" xfId="0" applyNumberFormat="1" applyBorder="1"/>
    <xf numFmtId="8" fontId="53" fillId="0" borderId="0" xfId="0" applyNumberFormat="1" applyFont="1"/>
    <xf numFmtId="0" fontId="49" fillId="0" borderId="19" xfId="0" applyFont="1" applyBorder="1" applyAlignment="1">
      <alignment horizontal="center"/>
    </xf>
    <xf numFmtId="40" fontId="0" fillId="0" borderId="36" xfId="0" applyNumberFormat="1" applyFont="1" applyFill="1" applyBorder="1"/>
    <xf numFmtId="0" fontId="69" fillId="0" borderId="0" xfId="0" applyFont="1" applyAlignment="1">
      <alignment horizontal="center"/>
    </xf>
    <xf numFmtId="40" fontId="0" fillId="0" borderId="37" xfId="0" applyNumberFormat="1" applyFill="1" applyBorder="1"/>
    <xf numFmtId="10" fontId="49" fillId="0" borderId="19" xfId="0" applyNumberFormat="1" applyFont="1" applyBorder="1" applyAlignment="1">
      <alignment horizontal="center"/>
    </xf>
    <xf numFmtId="10" fontId="0" fillId="0" borderId="35" xfId="0" applyNumberFormat="1" applyBorder="1"/>
    <xf numFmtId="10" fontId="0" fillId="0" borderId="36" xfId="0" applyNumberFormat="1" applyBorder="1"/>
    <xf numFmtId="10" fontId="0" fillId="0" borderId="36" xfId="0" applyNumberFormat="1" applyFill="1" applyBorder="1"/>
    <xf numFmtId="0" fontId="3" fillId="2" borderId="0" xfId="11" applyFont="1" applyFill="1" applyBorder="1" applyAlignment="1">
      <alignment horizontal="center" vertical="top" wrapText="1"/>
    </xf>
    <xf numFmtId="40" fontId="49" fillId="0" borderId="19" xfId="0" applyNumberFormat="1" applyFont="1" applyBorder="1" applyAlignment="1">
      <alignment horizontal="center"/>
    </xf>
    <xf numFmtId="10" fontId="0" fillId="0" borderId="37" xfId="0" applyNumberFormat="1" applyBorder="1"/>
    <xf numFmtId="10" fontId="0" fillId="0" borderId="40" xfId="0" applyNumberFormat="1" applyBorder="1"/>
    <xf numFmtId="10" fontId="53" fillId="0" borderId="19" xfId="0" applyNumberFormat="1" applyFont="1" applyBorder="1"/>
    <xf numFmtId="40" fontId="53" fillId="0" borderId="19" xfId="0" applyNumberFormat="1" applyFont="1" applyBorder="1"/>
    <xf numFmtId="40" fontId="0" fillId="0" borderId="14" xfId="0" applyNumberFormat="1" applyBorder="1"/>
    <xf numFmtId="14" fontId="3" fillId="5" borderId="3" xfId="11" applyNumberFormat="1" applyFont="1" applyFill="1" applyBorder="1" applyAlignment="1">
      <alignment horizontal="centerContinuous"/>
    </xf>
    <xf numFmtId="14" fontId="3" fillId="5" borderId="3" xfId="11" applyNumberFormat="1" applyFont="1" applyFill="1" applyBorder="1" applyAlignment="1">
      <alignment horizontal="center"/>
    </xf>
    <xf numFmtId="0" fontId="3" fillId="5" borderId="3" xfId="11" applyFont="1" applyFill="1" applyBorder="1" applyAlignment="1">
      <alignment horizontal="left" vertical="top"/>
    </xf>
    <xf numFmtId="44" fontId="28" fillId="0" borderId="34" xfId="0" applyNumberFormat="1" applyFont="1" applyBorder="1"/>
    <xf numFmtId="10" fontId="0" fillId="0" borderId="61" xfId="0" applyNumberFormat="1" applyBorder="1"/>
    <xf numFmtId="10" fontId="54" fillId="0" borderId="19" xfId="0" applyNumberFormat="1" applyFont="1" applyBorder="1"/>
    <xf numFmtId="10" fontId="0" fillId="0" borderId="35" xfId="0" applyNumberFormat="1" applyFill="1" applyBorder="1"/>
    <xf numFmtId="10" fontId="18" fillId="0" borderId="19" xfId="0" applyNumberFormat="1" applyFont="1" applyFill="1" applyBorder="1"/>
    <xf numFmtId="0" fontId="0" fillId="0" borderId="24" xfId="0" applyBorder="1"/>
    <xf numFmtId="10" fontId="0" fillId="0" borderId="25" xfId="0" applyNumberFormat="1" applyBorder="1"/>
    <xf numFmtId="0" fontId="0" fillId="0" borderId="26" xfId="0" applyBorder="1"/>
    <xf numFmtId="10" fontId="0" fillId="0" borderId="27" xfId="0" applyNumberFormat="1" applyBorder="1"/>
    <xf numFmtId="44" fontId="0" fillId="0" borderId="26" xfId="0" applyNumberFormat="1" applyBorder="1"/>
    <xf numFmtId="0" fontId="0" fillId="0" borderId="28" xfId="0" applyBorder="1"/>
    <xf numFmtId="10" fontId="0" fillId="0" borderId="29" xfId="0" applyNumberFormat="1" applyBorder="1"/>
    <xf numFmtId="10" fontId="51" fillId="0" borderId="19" xfId="0" applyNumberFormat="1" applyFont="1" applyBorder="1"/>
    <xf numFmtId="44" fontId="6" fillId="0" borderId="6" xfId="11" applyNumberFormat="1" applyFont="1" applyBorder="1"/>
    <xf numFmtId="44" fontId="0" fillId="0" borderId="24" xfId="0" applyNumberFormat="1" applyBorder="1"/>
    <xf numFmtId="44" fontId="0" fillId="0" borderId="28" xfId="0" applyNumberFormat="1" applyBorder="1"/>
    <xf numFmtId="10" fontId="53" fillId="0" borderId="62" xfId="0" applyNumberFormat="1" applyFont="1" applyBorder="1"/>
    <xf numFmtId="10" fontId="0" fillId="0" borderId="0" xfId="0" applyNumberFormat="1" applyFill="1"/>
    <xf numFmtId="4" fontId="0" fillId="0" borderId="35" xfId="0" applyNumberFormat="1" applyBorder="1"/>
    <xf numFmtId="4" fontId="0" fillId="0" borderId="36" xfId="0" applyNumberFormat="1" applyBorder="1"/>
    <xf numFmtId="40" fontId="0" fillId="0" borderId="30" xfId="0" applyNumberFormat="1" applyFill="1" applyBorder="1"/>
    <xf numFmtId="40" fontId="0" fillId="0" borderId="24" xfId="0" applyNumberFormat="1" applyFill="1" applyBorder="1"/>
    <xf numFmtId="40" fontId="0" fillId="0" borderId="26" xfId="0" applyNumberFormat="1" applyFill="1" applyBorder="1"/>
    <xf numFmtId="10" fontId="0" fillId="0" borderId="25" xfId="0" applyNumberFormat="1" applyFill="1" applyBorder="1"/>
    <xf numFmtId="4" fontId="0" fillId="0" borderId="13" xfId="0" applyNumberFormat="1" applyBorder="1"/>
    <xf numFmtId="44" fontId="53" fillId="0" borderId="19" xfId="0" applyNumberFormat="1" applyFont="1" applyBorder="1"/>
    <xf numFmtId="44" fontId="0" fillId="0" borderId="32" xfId="0" applyNumberFormat="1" applyBorder="1"/>
    <xf numFmtId="10" fontId="0" fillId="0" borderId="59" xfId="0" applyNumberFormat="1" applyBorder="1"/>
    <xf numFmtId="44" fontId="53" fillId="0" borderId="63" xfId="0" applyNumberFormat="1" applyFont="1" applyBorder="1"/>
    <xf numFmtId="10" fontId="53" fillId="0" borderId="64" xfId="0" applyNumberFormat="1" applyFont="1" applyBorder="1"/>
    <xf numFmtId="44" fontId="60" fillId="0" borderId="56" xfId="0" applyNumberFormat="1" applyFont="1" applyBorder="1"/>
    <xf numFmtId="44" fontId="60" fillId="0" borderId="57" xfId="0" applyNumberFormat="1" applyFont="1" applyBorder="1"/>
    <xf numFmtId="44" fontId="60" fillId="0" borderId="57" xfId="0" applyNumberFormat="1" applyFont="1" applyFill="1" applyBorder="1"/>
    <xf numFmtId="44" fontId="60" fillId="0" borderId="61" xfId="0" applyNumberFormat="1" applyFont="1" applyBorder="1"/>
    <xf numFmtId="44" fontId="60" fillId="0" borderId="57" xfId="0" applyNumberFormat="1" applyFont="1" applyFill="1" applyBorder="1" applyAlignment="1">
      <alignment wrapText="1"/>
    </xf>
    <xf numFmtId="44" fontId="60" fillId="0" borderId="61" xfId="0" applyNumberFormat="1" applyFont="1" applyFill="1" applyBorder="1"/>
    <xf numFmtId="44" fontId="60" fillId="0" borderId="4" xfId="0" applyNumberFormat="1" applyFont="1" applyFill="1" applyBorder="1"/>
    <xf numFmtId="8" fontId="69" fillId="0" borderId="4" xfId="0" applyNumberFormat="1" applyFont="1" applyFill="1" applyBorder="1"/>
    <xf numFmtId="44" fontId="60" fillId="0" borderId="4" xfId="0" applyNumberFormat="1" applyFont="1" applyBorder="1"/>
    <xf numFmtId="44" fontId="60" fillId="0" borderId="66" xfId="0" applyNumberFormat="1" applyFont="1" applyBorder="1"/>
    <xf numFmtId="40" fontId="0" fillId="0" borderId="4" xfId="0" applyNumberFormat="1" applyBorder="1"/>
    <xf numFmtId="10" fontId="59" fillId="0" borderId="13" xfId="0" applyNumberFormat="1" applyFont="1" applyBorder="1"/>
    <xf numFmtId="0" fontId="76" fillId="4" borderId="0" xfId="0" applyFont="1" applyFill="1"/>
    <xf numFmtId="44" fontId="0" fillId="0" borderId="26" xfId="0" applyNumberFormat="1" applyFill="1" applyBorder="1"/>
    <xf numFmtId="44" fontId="0" fillId="0" borderId="7" xfId="0" applyNumberFormat="1" applyBorder="1"/>
    <xf numFmtId="44" fontId="49" fillId="4" borderId="2" xfId="0" applyNumberFormat="1" applyFont="1" applyFill="1" applyBorder="1"/>
    <xf numFmtId="40" fontId="49" fillId="4" borderId="9" xfId="0" applyNumberFormat="1" applyFont="1" applyFill="1" applyBorder="1"/>
    <xf numFmtId="40" fontId="49" fillId="4" borderId="2" xfId="0" applyNumberFormat="1" applyFont="1" applyFill="1" applyBorder="1"/>
    <xf numFmtId="10" fontId="0" fillId="0" borderId="27" xfId="0" applyNumberFormat="1" applyFill="1" applyBorder="1"/>
    <xf numFmtId="40" fontId="0" fillId="0" borderId="26" xfId="0" applyNumberFormat="1" applyFont="1" applyFill="1" applyBorder="1"/>
    <xf numFmtId="44" fontId="6" fillId="0" borderId="28" xfId="1" applyNumberFormat="1" applyFont="1" applyFill="1" applyBorder="1"/>
    <xf numFmtId="44" fontId="6" fillId="0" borderId="7" xfId="1" applyNumberFormat="1" applyFont="1" applyFill="1" applyBorder="1"/>
    <xf numFmtId="40" fontId="53" fillId="0" borderId="7" xfId="0" applyNumberFormat="1" applyFont="1" applyFill="1" applyBorder="1"/>
    <xf numFmtId="10" fontId="53" fillId="0" borderId="29" xfId="0" applyNumberFormat="1" applyFont="1" applyFill="1" applyBorder="1"/>
    <xf numFmtId="8" fontId="3" fillId="2" borderId="3" xfId="1" applyNumberFormat="1" applyFont="1" applyFill="1" applyBorder="1" applyAlignment="1">
      <alignment horizontal="centerContinuous"/>
    </xf>
    <xf numFmtId="8" fontId="3" fillId="2" borderId="0" xfId="1" applyNumberFormat="1" applyFont="1" applyFill="1" applyBorder="1" applyAlignment="1">
      <alignment horizontal="centerContinuous"/>
    </xf>
    <xf numFmtId="8" fontId="49" fillId="0" borderId="19" xfId="0" applyNumberFormat="1" applyFont="1" applyBorder="1" applyAlignment="1">
      <alignment horizontal="center"/>
    </xf>
    <xf numFmtId="8" fontId="0" fillId="0" borderId="25" xfId="0" applyNumberFormat="1" applyBorder="1"/>
    <xf numFmtId="8" fontId="0" fillId="0" borderId="27" xfId="0" applyNumberFormat="1" applyBorder="1"/>
    <xf numFmtId="8" fontId="0" fillId="0" borderId="29" xfId="0" applyNumberFormat="1" applyBorder="1"/>
    <xf numFmtId="8" fontId="53" fillId="0" borderId="21" xfId="0" applyNumberFormat="1" applyFont="1" applyBorder="1"/>
    <xf numFmtId="44" fontId="0" fillId="0" borderId="67" xfId="0" applyNumberFormat="1" applyBorder="1"/>
    <xf numFmtId="44" fontId="0" fillId="0" borderId="16" xfId="0" applyNumberFormat="1" applyBorder="1"/>
    <xf numFmtId="0" fontId="0" fillId="0" borderId="32" xfId="0" applyBorder="1"/>
    <xf numFmtId="44" fontId="19" fillId="0" borderId="19" xfId="0" applyNumberFormat="1" applyFont="1" applyBorder="1"/>
    <xf numFmtId="44" fontId="49" fillId="4" borderId="30" xfId="0" applyNumberFormat="1" applyFont="1" applyFill="1" applyBorder="1"/>
    <xf numFmtId="44" fontId="69" fillId="0" borderId="19" xfId="0" applyNumberFormat="1" applyFont="1" applyFill="1" applyBorder="1" applyAlignment="1">
      <alignment wrapText="1"/>
    </xf>
    <xf numFmtId="44" fontId="60" fillId="4" borderId="65" xfId="0" applyNumberFormat="1" applyFont="1" applyFill="1" applyBorder="1"/>
    <xf numFmtId="44" fontId="60" fillId="4" borderId="4" xfId="0" applyNumberFormat="1" applyFont="1" applyFill="1" applyBorder="1"/>
    <xf numFmtId="44" fontId="0" fillId="0" borderId="3" xfId="0" applyNumberFormat="1" applyBorder="1"/>
    <xf numFmtId="44" fontId="0" fillId="4" borderId="65" xfId="0" applyNumberFormat="1" applyFont="1" applyFill="1" applyBorder="1"/>
    <xf numFmtId="0" fontId="84" fillId="0" borderId="0" xfId="0" applyFont="1"/>
    <xf numFmtId="40" fontId="16" fillId="2" borderId="0" xfId="0" applyNumberFormat="1" applyFont="1" applyFill="1" applyAlignment="1">
      <alignment horizontal="center"/>
    </xf>
    <xf numFmtId="40" fontId="19" fillId="0" borderId="19" xfId="0" applyNumberFormat="1" applyFont="1" applyBorder="1" applyAlignment="1">
      <alignment horizontal="center" wrapText="1"/>
    </xf>
    <xf numFmtId="40" fontId="16" fillId="0" borderId="0" xfId="0" applyNumberFormat="1" applyFont="1" applyAlignment="1">
      <alignment horizontal="center"/>
    </xf>
    <xf numFmtId="40" fontId="16" fillId="0" borderId="25" xfId="0" applyNumberFormat="1" applyFont="1" applyBorder="1" applyAlignment="1">
      <alignment horizontal="center"/>
    </xf>
    <xf numFmtId="40" fontId="16" fillId="0" borderId="27" xfId="0" applyNumberFormat="1" applyFont="1" applyBorder="1" applyAlignment="1">
      <alignment horizontal="center"/>
    </xf>
    <xf numFmtId="10" fontId="60" fillId="0" borderId="0" xfId="0" applyNumberFormat="1" applyFont="1" applyFill="1" applyBorder="1"/>
    <xf numFmtId="10" fontId="69" fillId="0" borderId="0" xfId="0" applyNumberFormat="1" applyFont="1" applyAlignment="1">
      <alignment wrapText="1"/>
    </xf>
    <xf numFmtId="39" fontId="60" fillId="10" borderId="36" xfId="0" applyNumberFormat="1" applyFont="1" applyFill="1" applyBorder="1"/>
    <xf numFmtId="0" fontId="60" fillId="10" borderId="0" xfId="0" applyFont="1" applyFill="1"/>
    <xf numFmtId="8" fontId="69" fillId="4" borderId="57" xfId="0" applyNumberFormat="1" applyFont="1" applyFill="1" applyBorder="1"/>
    <xf numFmtId="44" fontId="69" fillId="4" borderId="56" xfId="0" applyNumberFormat="1" applyFont="1" applyFill="1" applyBorder="1"/>
    <xf numFmtId="44" fontId="69" fillId="4" borderId="57" xfId="0" applyNumberFormat="1" applyFont="1" applyFill="1" applyBorder="1"/>
    <xf numFmtId="44" fontId="69" fillId="0" borderId="57" xfId="0" applyNumberFormat="1" applyFont="1" applyFill="1" applyBorder="1"/>
    <xf numFmtId="44" fontId="69" fillId="4" borderId="27" xfId="0" applyNumberFormat="1" applyFont="1" applyFill="1" applyBorder="1"/>
    <xf numFmtId="40" fontId="16" fillId="0" borderId="0" xfId="0" applyNumberFormat="1" applyFont="1" applyAlignment="1">
      <alignment wrapText="1"/>
    </xf>
    <xf numFmtId="10" fontId="82" fillId="0" borderId="46" xfId="0" applyNumberFormat="1" applyFont="1" applyBorder="1"/>
    <xf numFmtId="40" fontId="16" fillId="0" borderId="59" xfId="0" applyNumberFormat="1" applyFont="1" applyBorder="1" applyAlignment="1">
      <alignment horizontal="center"/>
    </xf>
    <xf numFmtId="40" fontId="16" fillId="0" borderId="19" xfId="0" applyNumberFormat="1" applyFont="1" applyBorder="1"/>
    <xf numFmtId="10" fontId="19" fillId="0" borderId="19" xfId="0" applyNumberFormat="1" applyFont="1" applyBorder="1" applyAlignment="1">
      <alignment horizontal="left" wrapText="1"/>
    </xf>
    <xf numFmtId="40" fontId="16" fillId="4" borderId="0" xfId="0" applyNumberFormat="1" applyFont="1" applyFill="1"/>
    <xf numFmtId="0" fontId="26" fillId="0" borderId="41" xfId="0" applyFont="1" applyBorder="1"/>
    <xf numFmtId="0" fontId="17" fillId="0" borderId="68" xfId="0" applyFont="1" applyBorder="1"/>
    <xf numFmtId="40" fontId="16" fillId="0" borderId="62" xfId="0" applyNumberFormat="1" applyFont="1" applyBorder="1"/>
    <xf numFmtId="40" fontId="16" fillId="0" borderId="62" xfId="0" applyNumberFormat="1" applyFont="1" applyBorder="1" applyAlignment="1">
      <alignment horizontal="center"/>
    </xf>
    <xf numFmtId="0" fontId="26" fillId="0" borderId="63" xfId="0" applyFont="1" applyBorder="1"/>
    <xf numFmtId="0" fontId="17" fillId="0" borderId="58" xfId="0" applyFont="1" applyBorder="1"/>
    <xf numFmtId="40" fontId="16" fillId="0" borderId="13" xfId="0" applyNumberFormat="1" applyFont="1" applyBorder="1"/>
    <xf numFmtId="40" fontId="16" fillId="0" borderId="13" xfId="0" applyNumberFormat="1" applyFont="1" applyBorder="1" applyAlignment="1">
      <alignment horizontal="center"/>
    </xf>
    <xf numFmtId="0" fontId="16" fillId="0" borderId="13" xfId="0" applyFont="1" applyBorder="1"/>
    <xf numFmtId="10" fontId="16" fillId="0" borderId="11" xfId="0" applyNumberFormat="1" applyFont="1" applyBorder="1"/>
    <xf numFmtId="10" fontId="19" fillId="0" borderId="19" xfId="0" applyNumberFormat="1" applyFont="1" applyBorder="1"/>
    <xf numFmtId="40" fontId="0" fillId="0" borderId="56" xfId="0" applyNumberFormat="1" applyBorder="1"/>
    <xf numFmtId="40" fontId="0" fillId="0" borderId="57" xfId="0" applyNumberFormat="1" applyBorder="1"/>
    <xf numFmtId="40" fontId="0" fillId="0" borderId="57" xfId="0" applyNumberFormat="1" applyFill="1" applyBorder="1"/>
    <xf numFmtId="40" fontId="0" fillId="0" borderId="60" xfId="0" applyNumberFormat="1" applyBorder="1"/>
    <xf numFmtId="10" fontId="0" fillId="0" borderId="20" xfId="0" applyNumberFormat="1" applyBorder="1"/>
    <xf numFmtId="10" fontId="55" fillId="0" borderId="19" xfId="0" applyNumberFormat="1" applyFont="1" applyBorder="1"/>
    <xf numFmtId="4" fontId="0" fillId="0" borderId="6" xfId="0" applyNumberFormat="1" applyBorder="1"/>
    <xf numFmtId="10" fontId="54" fillId="0" borderId="0" xfId="0" applyNumberFormat="1" applyFont="1"/>
    <xf numFmtId="164" fontId="0" fillId="0" borderId="0" xfId="0" applyNumberFormat="1"/>
    <xf numFmtId="8" fontId="0" fillId="0" borderId="41" xfId="0" applyNumberFormat="1" applyBorder="1"/>
    <xf numFmtId="8" fontId="0" fillId="0" borderId="47" xfId="0" applyNumberFormat="1" applyBorder="1"/>
    <xf numFmtId="44" fontId="54" fillId="0" borderId="19" xfId="0" applyNumberFormat="1" applyFont="1" applyBorder="1"/>
    <xf numFmtId="0" fontId="0" fillId="0" borderId="26" xfId="0" applyBorder="1" applyAlignment="1">
      <alignment wrapText="1"/>
    </xf>
    <xf numFmtId="44" fontId="0" fillId="0" borderId="69" xfId="0" applyNumberFormat="1" applyBorder="1"/>
    <xf numFmtId="44" fontId="0" fillId="0" borderId="70" xfId="0" applyNumberFormat="1" applyBorder="1"/>
    <xf numFmtId="44" fontId="53" fillId="0" borderId="71" xfId="0" applyNumberFormat="1" applyFont="1" applyBorder="1"/>
    <xf numFmtId="44" fontId="0" fillId="0" borderId="72" xfId="0" applyNumberFormat="1" applyBorder="1"/>
    <xf numFmtId="44" fontId="0" fillId="0" borderId="47" xfId="0" applyNumberFormat="1" applyBorder="1"/>
    <xf numFmtId="44" fontId="0" fillId="0" borderId="69" xfId="0" applyNumberFormat="1" applyBorder="1" applyAlignment="1">
      <alignment wrapText="1"/>
    </xf>
    <xf numFmtId="4" fontId="18" fillId="0" borderId="0" xfId="0" applyNumberFormat="1" applyFont="1" applyBorder="1" applyAlignment="1">
      <alignment horizontal="center"/>
    </xf>
    <xf numFmtId="10" fontId="0" fillId="0" borderId="9" xfId="0" applyNumberFormat="1" applyBorder="1"/>
    <xf numFmtId="10" fontId="0" fillId="0" borderId="9" xfId="0" applyNumberFormat="1" applyBorder="1" applyAlignment="1">
      <alignment wrapText="1"/>
    </xf>
    <xf numFmtId="10" fontId="0" fillId="0" borderId="14" xfId="0" applyNumberFormat="1" applyBorder="1"/>
    <xf numFmtId="10" fontId="54" fillId="0" borderId="22" xfId="0" applyNumberFormat="1" applyFont="1" applyBorder="1"/>
    <xf numFmtId="10" fontId="0" fillId="0" borderId="30" xfId="0" applyNumberFormat="1" applyBorder="1"/>
    <xf numFmtId="10" fontId="0" fillId="0" borderId="12" xfId="0" applyNumberFormat="1" applyBorder="1"/>
    <xf numFmtId="10" fontId="53" fillId="0" borderId="73" xfId="0" applyNumberFormat="1" applyFont="1" applyBorder="1"/>
    <xf numFmtId="4" fontId="0" fillId="0" borderId="36" xfId="0" applyNumberFormat="1" applyFill="1" applyBorder="1"/>
    <xf numFmtId="8" fontId="0" fillId="0" borderId="24" xfId="0" applyNumberFormat="1" applyBorder="1"/>
    <xf numFmtId="8" fontId="0" fillId="0" borderId="26" xfId="0" applyNumberFormat="1" applyBorder="1"/>
    <xf numFmtId="8" fontId="0" fillId="0" borderId="28" xfId="0" applyNumberFormat="1" applyBorder="1"/>
    <xf numFmtId="8" fontId="53" fillId="0" borderId="19" xfId="0" applyNumberFormat="1" applyFont="1" applyBorder="1"/>
    <xf numFmtId="0" fontId="17" fillId="0" borderId="40" xfId="0" applyFont="1" applyBorder="1"/>
    <xf numFmtId="0" fontId="17" fillId="0" borderId="6" xfId="0" applyFont="1" applyBorder="1"/>
    <xf numFmtId="40" fontId="16" fillId="0" borderId="33" xfId="0" applyNumberFormat="1" applyFont="1" applyBorder="1"/>
    <xf numFmtId="4" fontId="18" fillId="0" borderId="74" xfId="0" applyNumberFormat="1" applyFont="1" applyBorder="1" applyAlignment="1">
      <alignment horizontal="center"/>
    </xf>
    <xf numFmtId="4" fontId="18" fillId="0" borderId="75" xfId="0" applyNumberFormat="1" applyFont="1" applyBorder="1" applyAlignment="1">
      <alignment horizontal="center"/>
    </xf>
    <xf numFmtId="40" fontId="16" fillId="0" borderId="37" xfId="0" applyNumberFormat="1" applyFont="1" applyBorder="1" applyAlignment="1">
      <alignment horizontal="center"/>
    </xf>
    <xf numFmtId="0" fontId="16" fillId="0" borderId="6" xfId="0" applyFont="1" applyBorder="1"/>
    <xf numFmtId="40" fontId="16" fillId="0" borderId="6" xfId="0" applyNumberFormat="1" applyFont="1" applyBorder="1"/>
    <xf numFmtId="10" fontId="16" fillId="0" borderId="6" xfId="0" applyNumberFormat="1" applyFont="1" applyBorder="1"/>
    <xf numFmtId="40" fontId="3" fillId="2" borderId="3" xfId="11" applyNumberFormat="1" applyFont="1" applyFill="1" applyBorder="1" applyAlignment="1">
      <alignment horizontal="left" vertical="top"/>
    </xf>
    <xf numFmtId="40" fontId="3" fillId="2" borderId="0" xfId="11" applyNumberFormat="1" applyFont="1" applyFill="1" applyBorder="1" applyAlignment="1">
      <alignment horizontal="left" vertical="top"/>
    </xf>
    <xf numFmtId="10" fontId="49" fillId="0" borderId="22" xfId="0" applyNumberFormat="1" applyFont="1" applyBorder="1" applyAlignment="1">
      <alignment horizontal="center"/>
    </xf>
    <xf numFmtId="10" fontId="53" fillId="0" borderId="22" xfId="0" applyNumberFormat="1" applyFont="1" applyBorder="1"/>
    <xf numFmtId="40" fontId="0" fillId="0" borderId="0" xfId="0" applyNumberFormat="1" applyFill="1"/>
    <xf numFmtId="40" fontId="0" fillId="7" borderId="0" xfId="0" applyNumberFormat="1" applyFill="1"/>
    <xf numFmtId="10" fontId="0" fillId="7" borderId="0" xfId="0" applyNumberFormat="1" applyFill="1"/>
    <xf numFmtId="40" fontId="0" fillId="0" borderId="56" xfId="0" applyNumberFormat="1" applyFill="1" applyBorder="1"/>
    <xf numFmtId="40" fontId="0" fillId="0" borderId="35" xfId="0" applyNumberFormat="1" applyFill="1" applyBorder="1"/>
    <xf numFmtId="40" fontId="76" fillId="0" borderId="36" xfId="0" applyNumberFormat="1" applyFont="1" applyFill="1" applyBorder="1"/>
    <xf numFmtId="40" fontId="0" fillId="0" borderId="76" xfId="0" applyNumberFormat="1" applyFill="1" applyBorder="1"/>
    <xf numFmtId="40" fontId="0" fillId="0" borderId="60" xfId="0" applyNumberFormat="1" applyFill="1" applyBorder="1"/>
    <xf numFmtId="40" fontId="53" fillId="0" borderId="19" xfId="0" applyNumberFormat="1" applyFont="1" applyFill="1" applyBorder="1"/>
    <xf numFmtId="40" fontId="51" fillId="10" borderId="57" xfId="0" applyNumberFormat="1" applyFont="1" applyFill="1" applyBorder="1"/>
    <xf numFmtId="10" fontId="0" fillId="0" borderId="19" xfId="0" applyNumberFormat="1" applyBorder="1"/>
    <xf numFmtId="0" fontId="0" fillId="0" borderId="0" xfId="0" applyAlignment="1">
      <alignment horizontal="right"/>
    </xf>
    <xf numFmtId="0" fontId="52" fillId="0" borderId="0" xfId="0" applyFont="1"/>
    <xf numFmtId="40" fontId="0" fillId="0" borderId="36" xfId="0" applyNumberFormat="1" applyFont="1" applyBorder="1"/>
    <xf numFmtId="40" fontId="0" fillId="0" borderId="40" xfId="0" applyNumberFormat="1" applyFont="1" applyBorder="1"/>
    <xf numFmtId="0" fontId="0" fillId="0" borderId="0" xfId="0" applyFont="1" applyBorder="1" applyAlignment="1">
      <alignment horizontal="center"/>
    </xf>
    <xf numFmtId="10" fontId="69" fillId="0" borderId="19" xfId="0" applyNumberFormat="1" applyFont="1" applyBorder="1" applyAlignment="1">
      <alignment wrapText="1"/>
    </xf>
    <xf numFmtId="44" fontId="0" fillId="0" borderId="38" xfId="0" applyNumberFormat="1" applyBorder="1"/>
    <xf numFmtId="8" fontId="54" fillId="0" borderId="17" xfId="0" applyNumberFormat="1" applyFont="1" applyBorder="1"/>
    <xf numFmtId="44" fontId="19" fillId="5" borderId="19" xfId="0" applyNumberFormat="1" applyFont="1" applyFill="1" applyBorder="1" applyAlignment="1">
      <alignment horizontal="center" wrapText="1"/>
    </xf>
    <xf numFmtId="10" fontId="19" fillId="0" borderId="22" xfId="0" applyNumberFormat="1" applyFont="1" applyBorder="1"/>
    <xf numFmtId="4" fontId="18" fillId="0" borderId="19" xfId="0" applyNumberFormat="1" applyFont="1" applyBorder="1" applyAlignment="1">
      <alignment horizontal="center"/>
    </xf>
    <xf numFmtId="8" fontId="0" fillId="0" borderId="1" xfId="0" applyNumberFormat="1" applyBorder="1"/>
    <xf numFmtId="8" fontId="53" fillId="0" borderId="0" xfId="0" applyNumberFormat="1" applyFont="1" applyBorder="1"/>
    <xf numFmtId="40" fontId="3" fillId="2" borderId="3" xfId="11" applyNumberFormat="1" applyFont="1" applyFill="1" applyBorder="1" applyAlignment="1">
      <alignment horizontal="centerContinuous"/>
    </xf>
    <xf numFmtId="0" fontId="60" fillId="0" borderId="0" xfId="0" applyFont="1" applyAlignment="1"/>
    <xf numFmtId="40" fontId="62" fillId="0" borderId="0" xfId="0" applyNumberFormat="1" applyFont="1"/>
    <xf numFmtId="40" fontId="60" fillId="0" borderId="0" xfId="0" applyNumberFormat="1" applyFont="1" applyFill="1" applyBorder="1"/>
    <xf numFmtId="44" fontId="65" fillId="0" borderId="77" xfId="0" applyNumberFormat="1" applyFont="1" applyFill="1" applyBorder="1"/>
    <xf numFmtId="44" fontId="60" fillId="0" borderId="19" xfId="0" applyNumberFormat="1" applyFont="1" applyBorder="1"/>
    <xf numFmtId="44" fontId="42" fillId="0" borderId="19" xfId="0" applyNumberFormat="1" applyFont="1" applyFill="1" applyBorder="1"/>
    <xf numFmtId="0" fontId="69" fillId="0" borderId="20" xfId="0" applyFont="1" applyBorder="1" applyAlignment="1">
      <alignment horizontal="center"/>
    </xf>
    <xf numFmtId="10" fontId="69" fillId="0" borderId="20" xfId="0" applyNumberFormat="1" applyFont="1" applyBorder="1" applyAlignment="1">
      <alignment wrapText="1"/>
    </xf>
    <xf numFmtId="44" fontId="19" fillId="5" borderId="20" xfId="0" applyNumberFormat="1" applyFont="1" applyFill="1" applyBorder="1" applyAlignment="1">
      <alignment horizontal="center" wrapText="1"/>
    </xf>
    <xf numFmtId="44" fontId="60" fillId="0" borderId="24" xfId="0" applyNumberFormat="1" applyFont="1" applyBorder="1"/>
    <xf numFmtId="40" fontId="60" fillId="0" borderId="25" xfId="0" applyNumberFormat="1" applyFont="1" applyBorder="1"/>
    <xf numFmtId="0" fontId="60" fillId="0" borderId="26" xfId="0" applyFont="1" applyBorder="1"/>
    <xf numFmtId="40" fontId="60" fillId="0" borderId="27" xfId="0" applyNumberFormat="1" applyFont="1" applyBorder="1"/>
    <xf numFmtId="44" fontId="60" fillId="0" borderId="26" xfId="0" applyNumberFormat="1" applyFont="1" applyBorder="1"/>
    <xf numFmtId="40" fontId="60" fillId="0" borderId="27" xfId="0" applyNumberFormat="1" applyFont="1" applyBorder="1" applyAlignment="1">
      <alignment wrapText="1"/>
    </xf>
    <xf numFmtId="44" fontId="60" fillId="0" borderId="28" xfId="0" applyNumberFormat="1" applyFont="1" applyBorder="1"/>
    <xf numFmtId="40" fontId="60" fillId="0" borderId="29" xfId="0" applyNumberFormat="1" applyFont="1" applyBorder="1"/>
    <xf numFmtId="40" fontId="69" fillId="11" borderId="19" xfId="0" applyNumberFormat="1" applyFont="1" applyFill="1" applyBorder="1" applyAlignment="1">
      <alignment wrapText="1"/>
    </xf>
    <xf numFmtId="0" fontId="48" fillId="2" borderId="0" xfId="7" applyFont="1" applyFill="1" applyAlignment="1">
      <alignment horizontal="center"/>
    </xf>
    <xf numFmtId="14" fontId="3" fillId="2" borderId="1" xfId="4" applyNumberFormat="1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40" fontId="16" fillId="0" borderId="19" xfId="0" applyNumberFormat="1" applyFont="1" applyBorder="1" applyAlignment="1">
      <alignment horizontal="center"/>
    </xf>
    <xf numFmtId="40" fontId="19" fillId="0" borderId="19" xfId="0" applyNumberFormat="1" applyFont="1" applyBorder="1" applyAlignment="1">
      <alignment horizontal="center"/>
    </xf>
    <xf numFmtId="40" fontId="16" fillId="0" borderId="35" xfId="0" applyNumberFormat="1" applyFont="1" applyBorder="1" applyAlignment="1">
      <alignment horizontal="center"/>
    </xf>
    <xf numFmtId="40" fontId="16" fillId="0" borderId="36" xfId="0" applyNumberFormat="1" applyFont="1" applyBorder="1" applyAlignment="1">
      <alignment horizontal="center"/>
    </xf>
    <xf numFmtId="0" fontId="17" fillId="0" borderId="2" xfId="0" quotePrefix="1" applyFont="1" applyBorder="1"/>
    <xf numFmtId="0" fontId="17" fillId="0" borderId="27" xfId="0" applyFont="1" applyBorder="1"/>
    <xf numFmtId="40" fontId="3" fillId="2" borderId="0" xfId="11" applyNumberFormat="1" applyFont="1" applyFill="1" applyBorder="1" applyAlignment="1">
      <alignment horizontal="center"/>
    </xf>
    <xf numFmtId="40" fontId="0" fillId="0" borderId="35" xfId="0" applyNumberFormat="1" applyBorder="1" applyAlignment="1">
      <alignment horizontal="center"/>
    </xf>
    <xf numFmtId="40" fontId="83" fillId="0" borderId="36" xfId="0" applyNumberFormat="1" applyFont="1" applyFill="1" applyBorder="1" applyAlignment="1">
      <alignment horizontal="center"/>
    </xf>
    <xf numFmtId="40" fontId="0" fillId="0" borderId="36" xfId="0" applyNumberFormat="1" applyBorder="1" applyAlignment="1">
      <alignment horizontal="center"/>
    </xf>
    <xf numFmtId="40" fontId="0" fillId="0" borderId="0" xfId="0" applyNumberFormat="1" applyAlignment="1">
      <alignment horizontal="center"/>
    </xf>
    <xf numFmtId="40" fontId="0" fillId="0" borderId="0" xfId="0" applyNumberFormat="1" applyFill="1" applyAlignment="1">
      <alignment horizontal="center"/>
    </xf>
    <xf numFmtId="0" fontId="49" fillId="0" borderId="0" xfId="0" applyFont="1" applyFill="1"/>
    <xf numFmtId="44" fontId="59" fillId="0" borderId="13" xfId="14" applyFont="1" applyFill="1" applyBorder="1"/>
    <xf numFmtId="40" fontId="4" fillId="0" borderId="2" xfId="0" applyNumberFormat="1" applyFont="1" applyFill="1" applyBorder="1"/>
    <xf numFmtId="0" fontId="3" fillId="2" borderId="0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top"/>
    </xf>
    <xf numFmtId="0" fontId="31" fillId="0" borderId="6" xfId="0" applyFont="1" applyBorder="1" applyAlignment="1">
      <alignment horizontal="center"/>
    </xf>
    <xf numFmtId="40" fontId="53" fillId="0" borderId="0" xfId="0" applyNumberFormat="1" applyFont="1"/>
    <xf numFmtId="40" fontId="0" fillId="0" borderId="37" xfId="0" applyNumberFormat="1" applyBorder="1" applyAlignment="1">
      <alignment horizontal="center"/>
    </xf>
    <xf numFmtId="0" fontId="4" fillId="0" borderId="36" xfId="0" quotePrefix="1" applyFont="1" applyFill="1" applyBorder="1" applyAlignment="1">
      <alignment horizontal="center"/>
    </xf>
    <xf numFmtId="0" fontId="4" fillId="0" borderId="36" xfId="0" applyFont="1" applyFill="1" applyBorder="1"/>
    <xf numFmtId="44" fontId="0" fillId="0" borderId="44" xfId="0" applyNumberFormat="1" applyFill="1" applyBorder="1"/>
    <xf numFmtId="8" fontId="0" fillId="0" borderId="26" xfId="0" applyNumberFormat="1" applyFill="1" applyBorder="1"/>
    <xf numFmtId="40" fontId="49" fillId="0" borderId="35" xfId="0" applyNumberFormat="1" applyFont="1" applyBorder="1" applyAlignment="1">
      <alignment wrapText="1"/>
    </xf>
    <xf numFmtId="14" fontId="3" fillId="2" borderId="3" xfId="11" applyNumberFormat="1" applyFont="1" applyFill="1" applyBorder="1" applyAlignment="1">
      <alignment horizontal="right"/>
    </xf>
    <xf numFmtId="0" fontId="3" fillId="2" borderId="1" xfId="11" applyFont="1" applyFill="1" applyBorder="1" applyAlignment="1">
      <alignment horizontal="center"/>
    </xf>
    <xf numFmtId="0" fontId="78" fillId="0" borderId="0" xfId="0" applyFont="1" applyFill="1" applyBorder="1"/>
    <xf numFmtId="0" fontId="59" fillId="0" borderId="0" xfId="0" applyFont="1" applyFill="1" applyBorder="1"/>
    <xf numFmtId="0" fontId="29" fillId="0" borderId="0" xfId="0" applyFont="1"/>
    <xf numFmtId="2" fontId="69" fillId="0" borderId="19" xfId="0" applyNumberFormat="1" applyFont="1" applyBorder="1" applyAlignment="1">
      <alignment wrapText="1"/>
    </xf>
    <xf numFmtId="44" fontId="65" fillId="0" borderId="10" xfId="0" applyNumberFormat="1" applyFont="1" applyBorder="1"/>
    <xf numFmtId="44" fontId="60" fillId="0" borderId="79" xfId="0" applyNumberFormat="1" applyFont="1" applyBorder="1"/>
    <xf numFmtId="0" fontId="0" fillId="0" borderId="38" xfId="0" applyBorder="1"/>
    <xf numFmtId="0" fontId="0" fillId="0" borderId="26" xfId="0" applyFill="1" applyBorder="1"/>
    <xf numFmtId="0" fontId="59" fillId="0" borderId="19" xfId="0" applyFont="1" applyBorder="1"/>
    <xf numFmtId="0" fontId="3" fillId="2" borderId="0" xfId="11" applyFont="1" applyFill="1" applyBorder="1" applyAlignment="1">
      <alignment horizontal="left" vertical="top" wrapText="1"/>
    </xf>
    <xf numFmtId="0" fontId="0" fillId="0" borderId="24" xfId="0" applyFill="1" applyBorder="1"/>
    <xf numFmtId="0" fontId="4" fillId="0" borderId="59" xfId="0" applyFont="1" applyFill="1" applyBorder="1"/>
    <xf numFmtId="40" fontId="0" fillId="0" borderId="32" xfId="0" applyNumberFormat="1" applyBorder="1"/>
    <xf numFmtId="0" fontId="0" fillId="0" borderId="59" xfId="0" applyBorder="1"/>
    <xf numFmtId="44" fontId="49" fillId="0" borderId="19" xfId="0" applyNumberFormat="1" applyFont="1" applyBorder="1"/>
    <xf numFmtId="2" fontId="69" fillId="0" borderId="20" xfId="0" applyNumberFormat="1" applyFont="1" applyBorder="1" applyAlignment="1">
      <alignment wrapText="1"/>
    </xf>
    <xf numFmtId="44" fontId="6" fillId="0" borderId="42" xfId="1" applyNumberFormat="1" applyFont="1" applyFill="1" applyBorder="1"/>
    <xf numFmtId="40" fontId="59" fillId="0" borderId="63" xfId="0" applyNumberFormat="1" applyFont="1" applyBorder="1"/>
    <xf numFmtId="40" fontId="59" fillId="0" borderId="58" xfId="0" applyNumberFormat="1" applyFont="1" applyBorder="1"/>
    <xf numFmtId="40" fontId="59" fillId="0" borderId="64" xfId="0" applyNumberFormat="1" applyFont="1" applyBorder="1"/>
    <xf numFmtId="40" fontId="0" fillId="0" borderId="72" xfId="0" applyNumberFormat="1" applyBorder="1"/>
    <xf numFmtId="40" fontId="0" fillId="0" borderId="69" xfId="0" applyNumberFormat="1" applyBorder="1"/>
    <xf numFmtId="40" fontId="0" fillId="0" borderId="69" xfId="0" applyNumberFormat="1" applyBorder="1" applyAlignment="1">
      <alignment wrapText="1"/>
    </xf>
    <xf numFmtId="40" fontId="0" fillId="0" borderId="69" xfId="0" applyNumberFormat="1" applyFill="1" applyBorder="1"/>
    <xf numFmtId="40" fontId="0" fillId="0" borderId="70" xfId="0" applyNumberFormat="1" applyFill="1" applyBorder="1"/>
    <xf numFmtId="40" fontId="3" fillId="0" borderId="22" xfId="1" applyNumberFormat="1" applyFont="1" applyBorder="1"/>
    <xf numFmtId="0" fontId="6" fillId="0" borderId="23" xfId="12" applyFont="1" applyBorder="1"/>
    <xf numFmtId="0" fontId="6" fillId="0" borderId="23" xfId="3" quotePrefix="1" applyFont="1" applyBorder="1"/>
    <xf numFmtId="0" fontId="6" fillId="0" borderId="23" xfId="3" applyFont="1" applyBorder="1"/>
    <xf numFmtId="40" fontId="0" fillId="0" borderId="33" xfId="0" applyNumberFormat="1" applyBorder="1"/>
    <xf numFmtId="0" fontId="4" fillId="0" borderId="19" xfId="12" applyFont="1" applyBorder="1"/>
    <xf numFmtId="0" fontId="9" fillId="0" borderId="19" xfId="12" applyFont="1" applyBorder="1"/>
    <xf numFmtId="0" fontId="9" fillId="0" borderId="19" xfId="3" applyFont="1" applyBorder="1"/>
    <xf numFmtId="0" fontId="9" fillId="0" borderId="11" xfId="12" applyFont="1" applyBorder="1"/>
    <xf numFmtId="0" fontId="4" fillId="0" borderId="22" xfId="12" applyFont="1" applyBorder="1"/>
    <xf numFmtId="0" fontId="0" fillId="0" borderId="11" xfId="0" applyBorder="1"/>
    <xf numFmtId="0" fontId="9" fillId="0" borderId="11" xfId="3" applyFont="1" applyBorder="1"/>
    <xf numFmtId="0" fontId="4" fillId="0" borderId="22" xfId="8" applyFont="1" applyBorder="1"/>
    <xf numFmtId="0" fontId="5" fillId="0" borderId="11" xfId="8" applyFont="1" applyBorder="1"/>
    <xf numFmtId="40" fontId="49" fillId="0" borderId="20" xfId="0" applyNumberFormat="1" applyFont="1" applyBorder="1" applyAlignment="1">
      <alignment wrapText="1"/>
    </xf>
    <xf numFmtId="40" fontId="51" fillId="0" borderId="10" xfId="0" applyNumberFormat="1" applyFont="1" applyBorder="1"/>
    <xf numFmtId="40" fontId="5" fillId="6" borderId="20" xfId="1" applyNumberFormat="1" applyFont="1" applyFill="1" applyBorder="1" applyAlignment="1">
      <alignment horizontal="center" wrapText="1"/>
    </xf>
    <xf numFmtId="40" fontId="5" fillId="0" borderId="20" xfId="1" applyNumberFormat="1" applyFont="1" applyBorder="1" applyAlignment="1">
      <alignment horizontal="center" wrapText="1"/>
    </xf>
    <xf numFmtId="0" fontId="0" fillId="0" borderId="10" xfId="0" applyBorder="1"/>
    <xf numFmtId="0" fontId="15" fillId="0" borderId="10" xfId="0" applyFont="1" applyBorder="1"/>
    <xf numFmtId="0" fontId="18" fillId="0" borderId="10" xfId="0" applyFont="1" applyBorder="1"/>
    <xf numFmtId="8" fontId="18" fillId="0" borderId="10" xfId="0" applyNumberFormat="1" applyFont="1" applyBorder="1"/>
    <xf numFmtId="0" fontId="17" fillId="0" borderId="21" xfId="0" applyFont="1" applyBorder="1"/>
    <xf numFmtId="8" fontId="17" fillId="0" borderId="21" xfId="0" applyNumberFormat="1" applyFont="1" applyBorder="1"/>
    <xf numFmtId="40" fontId="63" fillId="0" borderId="21" xfId="0" applyNumberFormat="1" applyFont="1" applyBorder="1"/>
    <xf numFmtId="40" fontId="51" fillId="0" borderId="21" xfId="0" applyNumberFormat="1" applyFont="1" applyBorder="1"/>
    <xf numFmtId="10" fontId="0" fillId="0" borderId="21" xfId="0" applyNumberFormat="1" applyBorder="1"/>
    <xf numFmtId="40" fontId="63" fillId="0" borderId="7" xfId="0" applyNumberFormat="1" applyFont="1" applyBorder="1"/>
    <xf numFmtId="40" fontId="51" fillId="0" borderId="7" xfId="0" applyNumberFormat="1" applyFont="1" applyBorder="1"/>
    <xf numFmtId="10" fontId="0" fillId="0" borderId="7" xfId="0" applyNumberFormat="1" applyBorder="1"/>
    <xf numFmtId="0" fontId="49" fillId="0" borderId="11" xfId="0" applyFont="1" applyBorder="1"/>
    <xf numFmtId="0" fontId="26" fillId="0" borderId="39" xfId="0" applyFont="1" applyBorder="1"/>
    <xf numFmtId="39" fontId="18" fillId="0" borderId="10" xfId="0" applyNumberFormat="1" applyFont="1" applyBorder="1"/>
    <xf numFmtId="0" fontId="26" fillId="0" borderId="21" xfId="0" applyFont="1" applyBorder="1"/>
    <xf numFmtId="39" fontId="0" fillId="0" borderId="21" xfId="0" applyNumberFormat="1" applyBorder="1"/>
    <xf numFmtId="0" fontId="4" fillId="0" borderId="26" xfId="0" applyFont="1" applyBorder="1"/>
    <xf numFmtId="39" fontId="17" fillId="0" borderId="2" xfId="0" applyNumberFormat="1" applyFont="1" applyBorder="1"/>
    <xf numFmtId="0" fontId="5" fillId="0" borderId="28" xfId="0" applyFont="1" applyFill="1" applyBorder="1" applyAlignment="1">
      <alignment horizontal="right"/>
    </xf>
    <xf numFmtId="0" fontId="5" fillId="0" borderId="7" xfId="0" applyFont="1" applyFill="1" applyBorder="1"/>
    <xf numFmtId="39" fontId="30" fillId="0" borderId="7" xfId="0" applyNumberFormat="1" applyFont="1" applyFill="1" applyBorder="1"/>
    <xf numFmtId="8" fontId="30" fillId="0" borderId="7" xfId="0" applyNumberFormat="1" applyFont="1" applyFill="1" applyBorder="1"/>
    <xf numFmtId="40" fontId="51" fillId="0" borderId="7" xfId="0" applyNumberFormat="1" applyFont="1" applyFill="1" applyBorder="1"/>
    <xf numFmtId="0" fontId="77" fillId="2" borderId="0" xfId="0" applyFont="1" applyFill="1" applyBorder="1"/>
    <xf numFmtId="10" fontId="3" fillId="2" borderId="0" xfId="12" applyNumberFormat="1" applyFont="1" applyFill="1" applyBorder="1" applyAlignment="1">
      <alignment horizontal="centerContinuous"/>
    </xf>
    <xf numFmtId="10" fontId="19" fillId="0" borderId="19" xfId="0" applyNumberFormat="1" applyFont="1" applyBorder="1" applyAlignment="1">
      <alignment horizontal="center" wrapText="1"/>
    </xf>
    <xf numFmtId="43" fontId="5" fillId="0" borderId="21" xfId="1" applyFont="1" applyBorder="1" applyAlignment="1">
      <alignment horizontal="center" wrapText="1"/>
    </xf>
    <xf numFmtId="40" fontId="5" fillId="0" borderId="21" xfId="1" applyNumberFormat="1" applyFont="1" applyBorder="1" applyAlignment="1">
      <alignment horizontal="center" wrapText="1"/>
    </xf>
    <xf numFmtId="40" fontId="4" fillId="0" borderId="21" xfId="1" applyNumberFormat="1" applyFont="1" applyBorder="1" applyAlignment="1">
      <alignment horizontal="right" wrapText="1"/>
    </xf>
    <xf numFmtId="40" fontId="4" fillId="4" borderId="21" xfId="1" applyNumberFormat="1" applyFont="1" applyFill="1" applyBorder="1" applyAlignment="1">
      <alignment horizontal="right" wrapText="1"/>
    </xf>
    <xf numFmtId="0" fontId="4" fillId="0" borderId="26" xfId="10" quotePrefix="1" applyFont="1" applyBorder="1"/>
    <xf numFmtId="0" fontId="4" fillId="0" borderId="2" xfId="10" applyFont="1" applyBorder="1"/>
    <xf numFmtId="0" fontId="4" fillId="0" borderId="7" xfId="10" applyFont="1" applyBorder="1"/>
    <xf numFmtId="43" fontId="4" fillId="0" borderId="7" xfId="1" applyFont="1" applyBorder="1" applyAlignment="1"/>
    <xf numFmtId="40" fontId="4" fillId="0" borderId="7" xfId="1" applyNumberFormat="1" applyFont="1" applyBorder="1" applyAlignment="1"/>
    <xf numFmtId="0" fontId="5" fillId="0" borderId="19" xfId="10" applyFont="1" applyBorder="1"/>
    <xf numFmtId="0" fontId="6" fillId="0" borderId="19" xfId="10" applyFont="1" applyBorder="1"/>
    <xf numFmtId="43" fontId="5" fillId="0" borderId="19" xfId="1" applyFont="1" applyBorder="1" applyAlignment="1"/>
    <xf numFmtId="40" fontId="6" fillId="0" borderId="19" xfId="1" applyNumberFormat="1" applyFont="1" applyBorder="1" applyAlignment="1"/>
    <xf numFmtId="10" fontId="18" fillId="0" borderId="19" xfId="0" applyNumberFormat="1" applyFont="1" applyBorder="1"/>
    <xf numFmtId="0" fontId="13" fillId="0" borderId="19" xfId="0" applyFont="1" applyBorder="1"/>
    <xf numFmtId="0" fontId="0" fillId="0" borderId="16" xfId="0" applyBorder="1"/>
    <xf numFmtId="40" fontId="4" fillId="0" borderId="16" xfId="1" applyNumberFormat="1" applyFont="1" applyBorder="1" applyAlignment="1"/>
    <xf numFmtId="0" fontId="9" fillId="0" borderId="24" xfId="10" applyFont="1" applyBorder="1"/>
    <xf numFmtId="43" fontId="4" fillId="0" borderId="21" xfId="1" applyFont="1" applyBorder="1" applyAlignment="1"/>
    <xf numFmtId="40" fontId="4" fillId="0" borderId="21" xfId="1" applyNumberFormat="1" applyFont="1" applyBorder="1" applyAlignment="1"/>
    <xf numFmtId="0" fontId="4" fillId="0" borderId="28" xfId="10" quotePrefix="1" applyFont="1" applyBorder="1"/>
    <xf numFmtId="10" fontId="0" fillId="0" borderId="0" xfId="0" applyNumberFormat="1" applyBorder="1"/>
    <xf numFmtId="0" fontId="4" fillId="0" borderId="19" xfId="10" quotePrefix="1" applyFont="1" applyBorder="1"/>
    <xf numFmtId="43" fontId="4" fillId="0" borderId="19" xfId="1" applyFont="1" applyBorder="1" applyAlignment="1"/>
    <xf numFmtId="0" fontId="6" fillId="0" borderId="82" xfId="10" applyFont="1" applyBorder="1"/>
    <xf numFmtId="0" fontId="6" fillId="0" borderId="23" xfId="10" applyFont="1" applyBorder="1"/>
    <xf numFmtId="0" fontId="6" fillId="0" borderId="23" xfId="4" applyFont="1" applyBorder="1"/>
    <xf numFmtId="0" fontId="32" fillId="0" borderId="19" xfId="10" applyFont="1" applyBorder="1"/>
    <xf numFmtId="0" fontId="24" fillId="0" borderId="19" xfId="10" applyFont="1" applyBorder="1"/>
    <xf numFmtId="0" fontId="4" fillId="0" borderId="11" xfId="4" applyFont="1" applyBorder="1"/>
    <xf numFmtId="0" fontId="3" fillId="2" borderId="3" xfId="10" applyFont="1" applyFill="1" applyBorder="1" applyAlignment="1">
      <alignment horizontal="left" vertical="top"/>
    </xf>
    <xf numFmtId="0" fontId="3" fillId="2" borderId="0" xfId="10" applyFont="1" applyFill="1" applyBorder="1" applyAlignment="1"/>
    <xf numFmtId="0" fontId="6" fillId="0" borderId="11" xfId="4" applyFont="1" applyBorder="1"/>
    <xf numFmtId="0" fontId="24" fillId="0" borderId="22" xfId="4" applyFont="1" applyBorder="1"/>
    <xf numFmtId="0" fontId="87" fillId="0" borderId="22" xfId="4" applyFont="1" applyBorder="1"/>
    <xf numFmtId="0" fontId="3" fillId="2" borderId="0" xfId="10" applyFont="1" applyFill="1" applyBorder="1" applyAlignment="1">
      <alignment horizontal="center" vertical="center"/>
    </xf>
    <xf numFmtId="0" fontId="14" fillId="0" borderId="22" xfId="0" applyFont="1" applyBorder="1"/>
    <xf numFmtId="0" fontId="57" fillId="0" borderId="22" xfId="0" applyFont="1" applyBorder="1"/>
    <xf numFmtId="0" fontId="59" fillId="0" borderId="17" xfId="0" applyFont="1" applyBorder="1"/>
    <xf numFmtId="0" fontId="29" fillId="0" borderId="17" xfId="0" applyFont="1" applyBorder="1"/>
    <xf numFmtId="0" fontId="34" fillId="0" borderId="17" xfId="4" quotePrefix="1" applyFont="1" applyBorder="1"/>
    <xf numFmtId="0" fontId="22" fillId="0" borderId="17" xfId="4" applyFont="1" applyBorder="1"/>
    <xf numFmtId="0" fontId="4" fillId="0" borderId="10" xfId="13" applyFont="1" applyFill="1" applyBorder="1"/>
    <xf numFmtId="0" fontId="88" fillId="0" borderId="0" xfId="0" applyFont="1"/>
    <xf numFmtId="0" fontId="89" fillId="0" borderId="0" xfId="0" applyFont="1"/>
    <xf numFmtId="0" fontId="73" fillId="0" borderId="0" xfId="0" applyFont="1"/>
    <xf numFmtId="0" fontId="33" fillId="0" borderId="22" xfId="0" applyFont="1" applyBorder="1"/>
    <xf numFmtId="0" fontId="64" fillId="0" borderId="11" xfId="0" applyFont="1" applyBorder="1"/>
    <xf numFmtId="40" fontId="49" fillId="0" borderId="0" xfId="0" applyNumberFormat="1" applyFont="1" applyBorder="1" applyAlignment="1">
      <alignment wrapText="1"/>
    </xf>
    <xf numFmtId="40" fontId="69" fillId="0" borderId="19" xfId="0" applyNumberFormat="1" applyFont="1" applyBorder="1" applyAlignment="1">
      <alignment wrapText="1"/>
    </xf>
    <xf numFmtId="40" fontId="76" fillId="0" borderId="26" xfId="0" applyNumberFormat="1" applyFont="1" applyFill="1" applyBorder="1"/>
    <xf numFmtId="40" fontId="0" fillId="0" borderId="28" xfId="0" applyNumberFormat="1" applyFill="1" applyBorder="1"/>
    <xf numFmtId="40" fontId="59" fillId="0" borderId="21" xfId="0" applyNumberFormat="1" applyFont="1" applyBorder="1"/>
    <xf numFmtId="40" fontId="59" fillId="0" borderId="25" xfId="0" applyNumberFormat="1" applyFont="1" applyBorder="1"/>
    <xf numFmtId="40" fontId="59" fillId="0" borderId="2" xfId="0" applyNumberFormat="1" applyFont="1" applyBorder="1"/>
    <xf numFmtId="40" fontId="59" fillId="0" borderId="27" xfId="0" applyNumberFormat="1" applyFont="1" applyBorder="1"/>
    <xf numFmtId="40" fontId="29" fillId="0" borderId="2" xfId="0" applyNumberFormat="1" applyFont="1" applyBorder="1"/>
    <xf numFmtId="40" fontId="29" fillId="0" borderId="27" xfId="0" applyNumberFormat="1" applyFont="1" applyBorder="1"/>
    <xf numFmtId="40" fontId="59" fillId="0" borderId="7" xfId="0" applyNumberFormat="1" applyFont="1" applyBorder="1"/>
    <xf numFmtId="40" fontId="59" fillId="0" borderId="29" xfId="0" applyNumberFormat="1" applyFont="1" applyBorder="1"/>
    <xf numFmtId="40" fontId="53" fillId="0" borderId="21" xfId="0" applyNumberFormat="1" applyFont="1" applyBorder="1"/>
    <xf numFmtId="8" fontId="49" fillId="0" borderId="19" xfId="0" applyNumberFormat="1" applyFont="1" applyBorder="1" applyAlignment="1">
      <alignment wrapText="1"/>
    </xf>
    <xf numFmtId="8" fontId="69" fillId="0" borderId="19" xfId="0" applyNumberFormat="1" applyFont="1" applyBorder="1" applyAlignment="1">
      <alignment wrapText="1"/>
    </xf>
    <xf numFmtId="8" fontId="0" fillId="0" borderId="21" xfId="0" applyNumberFormat="1" applyBorder="1"/>
    <xf numFmtId="8" fontId="0" fillId="0" borderId="2" xfId="0" applyNumberFormat="1" applyBorder="1"/>
    <xf numFmtId="8" fontId="0" fillId="0" borderId="7" xfId="0" applyNumberFormat="1" applyBorder="1"/>
    <xf numFmtId="8" fontId="28" fillId="0" borderId="19" xfId="0" applyNumberFormat="1" applyFont="1" applyBorder="1"/>
    <xf numFmtId="40" fontId="6" fillId="0" borderId="33" xfId="11" applyNumberFormat="1" applyFont="1" applyBorder="1" applyAlignment="1">
      <alignment horizontal="center"/>
    </xf>
    <xf numFmtId="40" fontId="0" fillId="0" borderId="59" xfId="0" applyNumberFormat="1" applyBorder="1"/>
    <xf numFmtId="40" fontId="69" fillId="0" borderId="20" xfId="0" applyNumberFormat="1" applyFont="1" applyBorder="1" applyAlignment="1">
      <alignment wrapText="1"/>
    </xf>
    <xf numFmtId="40" fontId="0" fillId="0" borderId="0" xfId="0" applyNumberFormat="1" applyFill="1" applyBorder="1"/>
    <xf numFmtId="40" fontId="0" fillId="0" borderId="32" xfId="0" applyNumberFormat="1" applyFill="1" applyBorder="1"/>
    <xf numFmtId="40" fontId="0" fillId="0" borderId="5" xfId="0" applyNumberFormat="1" applyFill="1" applyBorder="1"/>
    <xf numFmtId="40" fontId="56" fillId="0" borderId="34" xfId="0" applyNumberFormat="1" applyFont="1" applyBorder="1"/>
    <xf numFmtId="40" fontId="18" fillId="0" borderId="19" xfId="0" applyNumberFormat="1" applyFont="1" applyBorder="1"/>
    <xf numFmtId="40" fontId="63" fillId="0" borderId="26" xfId="0" applyNumberFormat="1" applyFont="1" applyFill="1" applyBorder="1"/>
    <xf numFmtId="40" fontId="0" fillId="0" borderId="68" xfId="0" applyNumberFormat="1" applyFill="1" applyBorder="1"/>
    <xf numFmtId="40" fontId="0" fillId="0" borderId="15" xfId="0" applyNumberFormat="1" applyFill="1" applyBorder="1"/>
    <xf numFmtId="40" fontId="6" fillId="0" borderId="42" xfId="1" applyNumberFormat="1" applyFont="1" applyFill="1" applyBorder="1"/>
    <xf numFmtId="40" fontId="0" fillId="0" borderId="83" xfId="0" applyNumberFormat="1" applyFill="1" applyBorder="1"/>
    <xf numFmtId="40" fontId="6" fillId="0" borderId="19" xfId="1" applyNumberFormat="1" applyFont="1" applyFill="1" applyBorder="1"/>
    <xf numFmtId="8" fontId="3" fillId="2" borderId="0" xfId="1" quotePrefix="1" applyNumberFormat="1" applyFont="1" applyFill="1" applyBorder="1" applyAlignment="1">
      <alignment horizontal="centerContinuous"/>
    </xf>
    <xf numFmtId="8" fontId="3" fillId="2" borderId="1" xfId="1" quotePrefix="1" applyNumberFormat="1" applyFont="1" applyFill="1" applyBorder="1" applyAlignment="1">
      <alignment horizontal="centerContinuous"/>
    </xf>
    <xf numFmtId="8" fontId="0" fillId="0" borderId="2" xfId="0" applyNumberFormat="1" applyFill="1" applyBorder="1"/>
    <xf numFmtId="8" fontId="0" fillId="0" borderId="32" xfId="0" applyNumberFormat="1" applyBorder="1"/>
    <xf numFmtId="8" fontId="0" fillId="0" borderId="5" xfId="0" applyNumberFormat="1" applyBorder="1"/>
    <xf numFmtId="40" fontId="0" fillId="0" borderId="59" xfId="0" applyNumberFormat="1" applyFill="1" applyBorder="1"/>
    <xf numFmtId="40" fontId="0" fillId="0" borderId="68" xfId="0" applyNumberFormat="1" applyBorder="1"/>
    <xf numFmtId="40" fontId="0" fillId="0" borderId="15" xfId="0" applyNumberFormat="1" applyBorder="1"/>
    <xf numFmtId="40" fontId="0" fillId="0" borderId="62" xfId="0" applyNumberFormat="1" applyBorder="1"/>
    <xf numFmtId="40" fontId="0" fillId="0" borderId="26" xfId="0" applyNumberFormat="1" applyBorder="1" applyAlignment="1">
      <alignment wrapText="1"/>
    </xf>
    <xf numFmtId="40" fontId="0" fillId="0" borderId="2" xfId="0" applyNumberFormat="1" applyBorder="1" applyAlignment="1">
      <alignment wrapText="1"/>
    </xf>
    <xf numFmtId="40" fontId="0" fillId="0" borderId="27" xfId="0" applyNumberFormat="1" applyBorder="1" applyAlignment="1">
      <alignment wrapText="1"/>
    </xf>
    <xf numFmtId="40" fontId="67" fillId="0" borderId="19" xfId="0" applyNumberFormat="1" applyFont="1" applyBorder="1"/>
    <xf numFmtId="40" fontId="6" fillId="0" borderId="51" xfId="2" applyNumberFormat="1" applyFont="1" applyBorder="1"/>
    <xf numFmtId="40" fontId="22" fillId="0" borderId="17" xfId="2" applyNumberFormat="1" applyFont="1" applyBorder="1"/>
    <xf numFmtId="40" fontId="19" fillId="0" borderId="19" xfId="0" applyNumberFormat="1" applyFont="1" applyBorder="1"/>
    <xf numFmtId="8" fontId="60" fillId="0" borderId="72" xfId="0" applyNumberFormat="1" applyFont="1" applyBorder="1"/>
    <xf numFmtId="8" fontId="60" fillId="0" borderId="65" xfId="0" applyNumberFormat="1" applyFont="1" applyBorder="1"/>
    <xf numFmtId="8" fontId="60" fillId="2" borderId="0" xfId="0" applyNumberFormat="1" applyFont="1" applyFill="1"/>
    <xf numFmtId="8" fontId="60" fillId="0" borderId="56" xfId="0" applyNumberFormat="1" applyFont="1" applyBorder="1"/>
    <xf numFmtId="8" fontId="60" fillId="0" borderId="69" xfId="0" applyNumberFormat="1" applyFont="1" applyBorder="1"/>
    <xf numFmtId="8" fontId="60" fillId="0" borderId="4" xfId="0" applyNumberFormat="1" applyFont="1" applyBorder="1"/>
    <xf numFmtId="8" fontId="60" fillId="0" borderId="57" xfId="0" applyNumberFormat="1" applyFont="1" applyBorder="1"/>
    <xf numFmtId="8" fontId="60" fillId="0" borderId="78" xfId="0" applyNumberFormat="1" applyFont="1" applyBorder="1"/>
    <xf numFmtId="8" fontId="60" fillId="0" borderId="66" xfId="0" applyNumberFormat="1" applyFont="1" applyBorder="1"/>
    <xf numFmtId="8" fontId="60" fillId="0" borderId="61" xfId="0" applyNumberFormat="1" applyFont="1" applyBorder="1"/>
    <xf numFmtId="8" fontId="46" fillId="0" borderId="46" xfId="0" applyNumberFormat="1" applyFont="1" applyBorder="1"/>
    <xf numFmtId="8" fontId="60" fillId="0" borderId="24" xfId="0" applyNumberFormat="1" applyFont="1" applyBorder="1"/>
    <xf numFmtId="8" fontId="60" fillId="0" borderId="80" xfId="0" applyNumberFormat="1" applyFont="1" applyBorder="1"/>
    <xf numFmtId="8" fontId="60" fillId="0" borderId="25" xfId="0" applyNumberFormat="1" applyFont="1" applyBorder="1"/>
    <xf numFmtId="8" fontId="60" fillId="0" borderId="26" xfId="0" applyNumberFormat="1" applyFont="1" applyBorder="1"/>
    <xf numFmtId="8" fontId="60" fillId="0" borderId="81" xfId="0" applyNumberFormat="1" applyFont="1" applyBorder="1"/>
    <xf numFmtId="8" fontId="60" fillId="0" borderId="26" xfId="0" applyNumberFormat="1" applyFont="1" applyBorder="1" applyAlignment="1">
      <alignment wrapText="1"/>
    </xf>
    <xf numFmtId="8" fontId="60" fillId="0" borderId="27" xfId="0" applyNumberFormat="1" applyFont="1" applyBorder="1" applyAlignment="1">
      <alignment wrapText="1"/>
    </xf>
    <xf numFmtId="8" fontId="60" fillId="0" borderId="28" xfId="0" applyNumberFormat="1" applyFont="1" applyBorder="1"/>
    <xf numFmtId="8" fontId="60" fillId="0" borderId="29" xfId="0" applyNumberFormat="1" applyFont="1" applyBorder="1"/>
    <xf numFmtId="8" fontId="42" fillId="0" borderId="19" xfId="0" applyNumberFormat="1" applyFont="1" applyFill="1" applyBorder="1"/>
    <xf numFmtId="8" fontId="60" fillId="0" borderId="0" xfId="0" applyNumberFormat="1" applyFont="1" applyFill="1" applyBorder="1"/>
    <xf numFmtId="8" fontId="65" fillId="0" borderId="10" xfId="0" applyNumberFormat="1" applyFont="1" applyBorder="1"/>
    <xf numFmtId="40" fontId="18" fillId="0" borderId="19" xfId="0" applyNumberFormat="1" applyFont="1" applyBorder="1" applyAlignment="1">
      <alignment horizontal="center"/>
    </xf>
    <xf numFmtId="8" fontId="60" fillId="0" borderId="79" xfId="0" applyNumberFormat="1" applyFont="1" applyBorder="1"/>
    <xf numFmtId="44" fontId="6" fillId="0" borderId="19" xfId="1" applyNumberFormat="1" applyFont="1" applyBorder="1"/>
    <xf numFmtId="40" fontId="6" fillId="0" borderId="19" xfId="1" applyNumberFormat="1" applyFont="1" applyBorder="1"/>
    <xf numFmtId="2" fontId="69" fillId="4" borderId="19" xfId="0" applyNumberFormat="1" applyFont="1" applyFill="1" applyBorder="1" applyAlignment="1">
      <alignment wrapText="1"/>
    </xf>
    <xf numFmtId="0" fontId="0" fillId="4" borderId="0" xfId="0" applyFill="1"/>
    <xf numFmtId="2" fontId="69" fillId="0" borderId="19" xfId="0" applyNumberFormat="1" applyFont="1" applyFill="1" applyBorder="1" applyAlignment="1">
      <alignment wrapText="1"/>
    </xf>
    <xf numFmtId="0" fontId="54" fillId="0" borderId="19" xfId="0" applyFont="1" applyBorder="1" applyAlignment="1">
      <alignment wrapText="1"/>
    </xf>
    <xf numFmtId="0" fontId="59" fillId="0" borderId="36" xfId="0" applyFont="1" applyBorder="1"/>
    <xf numFmtId="8" fontId="3" fillId="2" borderId="3" xfId="11" applyNumberFormat="1" applyFont="1" applyFill="1" applyBorder="1" applyAlignment="1">
      <alignment horizontal="centerContinuous"/>
    </xf>
    <xf numFmtId="8" fontId="3" fillId="2" borderId="0" xfId="11" applyNumberFormat="1" applyFont="1" applyFill="1" applyBorder="1" applyAlignment="1">
      <alignment horizontal="centerContinuous"/>
    </xf>
    <xf numFmtId="8" fontId="3" fillId="2" borderId="1" xfId="11" applyNumberFormat="1" applyFont="1" applyFill="1" applyBorder="1" applyAlignment="1">
      <alignment horizontal="centerContinuous"/>
    </xf>
    <xf numFmtId="8" fontId="0" fillId="0" borderId="0" xfId="0" applyNumberFormat="1" applyFill="1" applyBorder="1"/>
    <xf numFmtId="8" fontId="18" fillId="0" borderId="0" xfId="0" applyNumberFormat="1" applyFont="1"/>
    <xf numFmtId="40" fontId="0" fillId="0" borderId="12" xfId="0" applyNumberFormat="1" applyFill="1" applyBorder="1"/>
    <xf numFmtId="40" fontId="0" fillId="0" borderId="31" xfId="0" applyNumberFormat="1" applyBorder="1"/>
    <xf numFmtId="40" fontId="0" fillId="0" borderId="12" xfId="0" applyNumberFormat="1" applyBorder="1"/>
    <xf numFmtId="8" fontId="60" fillId="0" borderId="30" xfId="0" applyNumberFormat="1" applyFont="1" applyBorder="1"/>
    <xf numFmtId="8" fontId="60" fillId="0" borderId="9" xfId="0" applyNumberFormat="1" applyFont="1" applyBorder="1"/>
    <xf numFmtId="8" fontId="60" fillId="0" borderId="9" xfId="0" applyNumberFormat="1" applyFont="1" applyBorder="1" applyAlignment="1">
      <alignment wrapText="1"/>
    </xf>
    <xf numFmtId="8" fontId="60" fillId="0" borderId="14" xfId="0" applyNumberFormat="1" applyFont="1" applyBorder="1"/>
    <xf numFmtId="0" fontId="0" fillId="0" borderId="37" xfId="0" applyFill="1" applyBorder="1"/>
    <xf numFmtId="40" fontId="16" fillId="0" borderId="24" xfId="0" applyNumberFormat="1" applyFont="1" applyBorder="1"/>
    <xf numFmtId="40" fontId="16" fillId="0" borderId="21" xfId="0" applyNumberFormat="1" applyFont="1" applyBorder="1"/>
    <xf numFmtId="40" fontId="16" fillId="0" borderId="26" xfId="0" applyNumberFormat="1" applyFont="1" applyBorder="1"/>
    <xf numFmtId="40" fontId="16" fillId="0" borderId="2" xfId="0" applyNumberFormat="1" applyFont="1" applyBorder="1"/>
    <xf numFmtId="40" fontId="16" fillId="0" borderId="28" xfId="0" applyNumberFormat="1" applyFont="1" applyBorder="1"/>
    <xf numFmtId="40" fontId="16" fillId="0" borderId="7" xfId="0" applyNumberFormat="1" applyFont="1" applyBorder="1"/>
    <xf numFmtId="40" fontId="0" fillId="0" borderId="31" xfId="0" applyNumberFormat="1" applyFill="1" applyBorder="1"/>
    <xf numFmtId="40" fontId="69" fillId="4" borderId="19" xfId="0" applyNumberFormat="1" applyFont="1" applyFill="1" applyBorder="1" applyAlignment="1">
      <alignment wrapText="1"/>
    </xf>
    <xf numFmtId="40" fontId="0" fillId="0" borderId="13" xfId="0" applyNumberFormat="1" applyFill="1" applyBorder="1"/>
    <xf numFmtId="40" fontId="15" fillId="0" borderId="0" xfId="0" applyNumberFormat="1" applyFont="1"/>
    <xf numFmtId="40" fontId="49" fillId="2" borderId="0" xfId="0" applyNumberFormat="1" applyFont="1" applyFill="1" applyBorder="1"/>
    <xf numFmtId="0" fontId="4" fillId="0" borderId="28" xfId="6" quotePrefix="1" applyFont="1" applyFill="1" applyBorder="1" applyAlignment="1">
      <alignment horizontal="left"/>
    </xf>
    <xf numFmtId="40" fontId="0" fillId="0" borderId="65" xfId="0" applyNumberFormat="1" applyBorder="1"/>
    <xf numFmtId="40" fontId="76" fillId="0" borderId="4" xfId="0" applyNumberFormat="1" applyFont="1" applyFill="1" applyBorder="1"/>
    <xf numFmtId="40" fontId="0" fillId="0" borderId="4" xfId="0" applyNumberFormat="1" applyFill="1" applyBorder="1"/>
    <xf numFmtId="40" fontId="0" fillId="0" borderId="4" xfId="0" applyNumberFormat="1" applyFont="1" applyFill="1" applyBorder="1"/>
    <xf numFmtId="40" fontId="0" fillId="0" borderId="66" xfId="0" applyNumberFormat="1" applyFill="1" applyBorder="1"/>
    <xf numFmtId="40" fontId="0" fillId="0" borderId="66" xfId="0" applyNumberFormat="1" applyBorder="1"/>
    <xf numFmtId="40" fontId="59" fillId="0" borderId="35" xfId="0" applyNumberFormat="1" applyFont="1" applyBorder="1"/>
    <xf numFmtId="40" fontId="59" fillId="0" borderId="36" xfId="0" applyNumberFormat="1" applyFont="1" applyBorder="1"/>
    <xf numFmtId="40" fontId="29" fillId="0" borderId="36" xfId="0" applyNumberFormat="1" applyFont="1" applyBorder="1"/>
    <xf numFmtId="40" fontId="59" fillId="0" borderId="37" xfId="0" applyNumberFormat="1" applyFont="1" applyBorder="1"/>
    <xf numFmtId="8" fontId="69" fillId="4" borderId="19" xfId="0" applyNumberFormat="1" applyFont="1" applyFill="1" applyBorder="1" applyAlignment="1">
      <alignment wrapText="1"/>
    </xf>
    <xf numFmtId="40" fontId="0" fillId="0" borderId="62" xfId="0" applyNumberFormat="1" applyFill="1" applyBorder="1"/>
    <xf numFmtId="40" fontId="59" fillId="0" borderId="0" xfId="0" applyNumberFormat="1" applyFont="1"/>
    <xf numFmtId="40" fontId="19" fillId="0" borderId="0" xfId="0" applyNumberFormat="1" applyFont="1"/>
    <xf numFmtId="8" fontId="60" fillId="6" borderId="25" xfId="0" applyNumberFormat="1" applyFont="1" applyFill="1" applyBorder="1"/>
    <xf numFmtId="44" fontId="60" fillId="6" borderId="25" xfId="0" applyNumberFormat="1" applyFont="1" applyFill="1" applyBorder="1"/>
    <xf numFmtId="8" fontId="60" fillId="6" borderId="0" xfId="0" applyNumberFormat="1" applyFont="1" applyFill="1" applyBorder="1"/>
    <xf numFmtId="8" fontId="60" fillId="6" borderId="0" xfId="0" applyNumberFormat="1" applyFont="1" applyFill="1"/>
    <xf numFmtId="0" fontId="60" fillId="6" borderId="19" xfId="0" applyFont="1" applyFill="1" applyBorder="1"/>
    <xf numFmtId="0" fontId="16" fillId="6" borderId="19" xfId="0" applyFont="1" applyFill="1" applyBorder="1" applyAlignment="1">
      <alignment wrapText="1"/>
    </xf>
    <xf numFmtId="40" fontId="63" fillId="0" borderId="0" xfId="0" applyNumberFormat="1" applyFont="1" applyFill="1" applyBorder="1"/>
    <xf numFmtId="0" fontId="59" fillId="0" borderId="35" xfId="0" applyFont="1" applyBorder="1"/>
    <xf numFmtId="40" fontId="0" fillId="4" borderId="0" xfId="0" applyNumberFormat="1" applyFill="1"/>
    <xf numFmtId="0" fontId="0" fillId="0" borderId="0" xfId="0" applyNumberFormat="1"/>
    <xf numFmtId="0" fontId="49" fillId="0" borderId="0" xfId="0" applyFont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NumberFormat="1" applyBorder="1"/>
    <xf numFmtId="40" fontId="0" fillId="4" borderId="26" xfId="0" applyNumberFormat="1" applyFill="1" applyBorder="1"/>
    <xf numFmtId="0" fontId="59" fillId="6" borderId="19" xfId="0" applyFont="1" applyFill="1" applyBorder="1" applyAlignment="1">
      <alignment wrapText="1"/>
    </xf>
    <xf numFmtId="40" fontId="49" fillId="0" borderId="29" xfId="0" applyNumberFormat="1" applyFont="1" applyFill="1" applyBorder="1"/>
    <xf numFmtId="40" fontId="3" fillId="2" borderId="0" xfId="10" applyNumberFormat="1" applyFont="1" applyFill="1" applyBorder="1" applyAlignment="1">
      <alignment horizontal="centerContinuous"/>
    </xf>
    <xf numFmtId="40" fontId="64" fillId="0" borderId="0" xfId="0" applyNumberFormat="1" applyFont="1" applyFill="1" applyBorder="1"/>
    <xf numFmtId="40" fontId="65" fillId="0" borderId="19" xfId="0" applyNumberFormat="1" applyFont="1" applyBorder="1" applyAlignment="1">
      <alignment wrapText="1"/>
    </xf>
    <xf numFmtId="40" fontId="59" fillId="0" borderId="6" xfId="0" applyNumberFormat="1" applyFont="1" applyBorder="1"/>
    <xf numFmtId="40" fontId="65" fillId="0" borderId="0" xfId="0" applyNumberFormat="1" applyFont="1" applyBorder="1" applyAlignment="1">
      <alignment wrapText="1"/>
    </xf>
    <xf numFmtId="0" fontId="3" fillId="2" borderId="3" xfId="4" applyFont="1" applyFill="1" applyBorder="1" applyAlignment="1">
      <alignment horizontal="center"/>
    </xf>
    <xf numFmtId="4" fontId="6" fillId="2" borderId="0" xfId="10" applyNumberFormat="1" applyFont="1" applyFill="1" applyBorder="1" applyAlignment="1">
      <alignment horizontal="centerContinuous"/>
    </xf>
    <xf numFmtId="4" fontId="63" fillId="0" borderId="0" xfId="0" applyNumberFormat="1" applyFont="1"/>
    <xf numFmtId="4" fontId="82" fillId="0" borderId="19" xfId="0" applyNumberFormat="1" applyFont="1" applyBorder="1" applyAlignment="1">
      <alignment wrapText="1"/>
    </xf>
    <xf numFmtId="4" fontId="63" fillId="0" borderId="6" xfId="0" applyNumberFormat="1" applyFont="1" applyBorder="1"/>
    <xf numFmtId="0" fontId="0" fillId="0" borderId="13" xfId="0" applyBorder="1"/>
    <xf numFmtId="0" fontId="6" fillId="2" borderId="0" xfId="10" applyFont="1" applyFill="1" applyBorder="1" applyAlignment="1">
      <alignment horizontal="centerContinuous"/>
    </xf>
    <xf numFmtId="40" fontId="82" fillId="0" borderId="19" xfId="0" applyNumberFormat="1" applyFont="1" applyBorder="1" applyAlignment="1">
      <alignment wrapText="1"/>
    </xf>
    <xf numFmtId="40" fontId="63" fillId="0" borderId="13" xfId="0" applyNumberFormat="1" applyFont="1" applyBorder="1"/>
    <xf numFmtId="40" fontId="0" fillId="2" borderId="3" xfId="0" applyNumberFormat="1" applyFont="1" applyFill="1" applyBorder="1"/>
    <xf numFmtId="40" fontId="0" fillId="2" borderId="0" xfId="0" applyNumberFormat="1" applyFont="1" applyFill="1" applyBorder="1"/>
    <xf numFmtId="40" fontId="0" fillId="2" borderId="1" xfId="0" applyNumberFormat="1" applyFont="1" applyFill="1" applyBorder="1"/>
    <xf numFmtId="40" fontId="0" fillId="0" borderId="0" xfId="0" applyNumberFormat="1" applyFont="1"/>
    <xf numFmtId="40" fontId="0" fillId="0" borderId="19" xfId="0" applyNumberFormat="1" applyFont="1" applyBorder="1" applyAlignment="1">
      <alignment wrapText="1"/>
    </xf>
    <xf numFmtId="8" fontId="0" fillId="0" borderId="0" xfId="0" applyNumberFormat="1" applyBorder="1"/>
    <xf numFmtId="40" fontId="0" fillId="0" borderId="6" xfId="0" applyNumberFormat="1" applyFont="1" applyBorder="1"/>
    <xf numFmtId="8" fontId="0" fillId="2" borderId="3" xfId="0" applyNumberFormat="1" applyFill="1" applyBorder="1"/>
    <xf numFmtId="8" fontId="0" fillId="2" borderId="0" xfId="0" applyNumberFormat="1" applyFill="1" applyBorder="1"/>
    <xf numFmtId="8" fontId="0" fillId="2" borderId="1" xfId="0" applyNumberFormat="1" applyFill="1" applyBorder="1"/>
    <xf numFmtId="8" fontId="49" fillId="0" borderId="0" xfId="0" applyNumberFormat="1" applyFont="1"/>
    <xf numFmtId="40" fontId="69" fillId="0" borderId="19" xfId="0" applyNumberFormat="1" applyFont="1" applyFill="1" applyBorder="1" applyAlignment="1">
      <alignment wrapText="1"/>
    </xf>
    <xf numFmtId="40" fontId="0" fillId="0" borderId="34" xfId="0" applyNumberFormat="1" applyFill="1" applyBorder="1"/>
    <xf numFmtId="10" fontId="69" fillId="0" borderId="19" xfId="0" applyNumberFormat="1" applyFont="1" applyFill="1" applyBorder="1" applyAlignment="1">
      <alignment wrapText="1"/>
    </xf>
    <xf numFmtId="10" fontId="76" fillId="0" borderId="36" xfId="0" applyNumberFormat="1" applyFont="1" applyFill="1" applyBorder="1"/>
    <xf numFmtId="10" fontId="0" fillId="0" borderId="36" xfId="0" applyNumberFormat="1" applyFont="1" applyFill="1" applyBorder="1"/>
    <xf numFmtId="10" fontId="0" fillId="0" borderId="34" xfId="0" applyNumberFormat="1" applyFill="1" applyBorder="1"/>
    <xf numFmtId="4" fontId="76" fillId="0" borderId="36" xfId="0" applyNumberFormat="1" applyFont="1" applyFill="1" applyBorder="1"/>
    <xf numFmtId="4" fontId="0" fillId="0" borderId="36" xfId="0" applyNumberFormat="1" applyFont="1" applyFill="1" applyBorder="1"/>
    <xf numFmtId="4" fontId="0" fillId="0" borderId="34" xfId="0" applyNumberFormat="1" applyFill="1" applyBorder="1"/>
    <xf numFmtId="40" fontId="16" fillId="0" borderId="30" xfId="0" applyNumberFormat="1" applyFont="1" applyBorder="1"/>
    <xf numFmtId="40" fontId="16" fillId="6" borderId="69" xfId="0" applyNumberFormat="1" applyFont="1" applyFill="1" applyBorder="1"/>
    <xf numFmtId="40" fontId="16" fillId="0" borderId="69" xfId="0" applyNumberFormat="1" applyFont="1" applyBorder="1"/>
    <xf numFmtId="40" fontId="16" fillId="0" borderId="70" xfId="0" applyNumberFormat="1" applyFont="1" applyBorder="1"/>
    <xf numFmtId="40" fontId="16" fillId="0" borderId="72" xfId="0" applyNumberFormat="1" applyFont="1" applyBorder="1"/>
    <xf numFmtId="40" fontId="16" fillId="0" borderId="78" xfId="0" applyNumberFormat="1" applyFont="1" applyBorder="1"/>
    <xf numFmtId="40" fontId="19" fillId="0" borderId="22" xfId="0" applyNumberFormat="1" applyFont="1" applyBorder="1"/>
    <xf numFmtId="40" fontId="16" fillId="0" borderId="25" xfId="0" applyNumberFormat="1" applyFont="1" applyBorder="1"/>
    <xf numFmtId="40" fontId="16" fillId="0" borderId="65" xfId="0" applyNumberFormat="1" applyFont="1" applyBorder="1"/>
    <xf numFmtId="8" fontId="60" fillId="0" borderId="62" xfId="0" applyNumberFormat="1" applyFont="1" applyBorder="1"/>
    <xf numFmtId="40" fontId="0" fillId="0" borderId="39" xfId="0" applyNumberFormat="1" applyBorder="1"/>
    <xf numFmtId="40" fontId="0" fillId="0" borderId="84" xfId="0" applyNumberFormat="1" applyBorder="1"/>
    <xf numFmtId="40" fontId="0" fillId="0" borderId="76" xfId="0" applyNumberFormat="1" applyBorder="1"/>
    <xf numFmtId="44" fontId="60" fillId="6" borderId="0" xfId="0" applyNumberFormat="1" applyFont="1" applyFill="1" applyBorder="1"/>
    <xf numFmtId="0" fontId="60" fillId="6" borderId="19" xfId="0" applyFont="1" applyFill="1" applyBorder="1" applyAlignment="1">
      <alignment wrapText="1"/>
    </xf>
    <xf numFmtId="40" fontId="0" fillId="0" borderId="0" xfId="0" applyNumberFormat="1" applyFont="1" applyFill="1" applyBorder="1"/>
    <xf numFmtId="40" fontId="0" fillId="0" borderId="0" xfId="0" applyNumberFormat="1" applyFont="1" applyFill="1"/>
    <xf numFmtId="40" fontId="16" fillId="5" borderId="27" xfId="0" applyNumberFormat="1" applyFont="1" applyFill="1" applyBorder="1"/>
    <xf numFmtId="40" fontId="0" fillId="0" borderId="0" xfId="0" quotePrefix="1" applyNumberFormat="1"/>
    <xf numFmtId="0" fontId="0" fillId="0" borderId="36" xfId="0" applyBorder="1" applyAlignment="1">
      <alignment wrapText="1"/>
    </xf>
    <xf numFmtId="0" fontId="0" fillId="0" borderId="46" xfId="0" applyBorder="1"/>
    <xf numFmtId="44" fontId="0" fillId="0" borderId="1" xfId="0" applyNumberFormat="1" applyFill="1" applyBorder="1"/>
    <xf numFmtId="40" fontId="82" fillId="0" borderId="19" xfId="0" applyNumberFormat="1" applyFont="1" applyFill="1" applyBorder="1" applyAlignment="1">
      <alignment wrapText="1"/>
    </xf>
    <xf numFmtId="4" fontId="82" fillId="0" borderId="19" xfId="0" applyNumberFormat="1" applyFont="1" applyFill="1" applyBorder="1" applyAlignment="1">
      <alignment wrapText="1"/>
    </xf>
    <xf numFmtId="40" fontId="60" fillId="2" borderId="0" xfId="0" applyNumberFormat="1" applyFont="1" applyFill="1"/>
    <xf numFmtId="40" fontId="46" fillId="0" borderId="46" xfId="0" applyNumberFormat="1" applyFont="1" applyBorder="1"/>
    <xf numFmtId="40" fontId="60" fillId="0" borderId="0" xfId="0" applyNumberFormat="1" applyFont="1" applyAlignment="1">
      <alignment wrapText="1"/>
    </xf>
    <xf numFmtId="40" fontId="42" fillId="0" borderId="19" xfId="0" applyNumberFormat="1" applyFont="1" applyFill="1" applyBorder="1"/>
    <xf numFmtId="40" fontId="65" fillId="0" borderId="10" xfId="0" applyNumberFormat="1" applyFont="1" applyBorder="1"/>
    <xf numFmtId="40" fontId="62" fillId="5" borderId="0" xfId="0" applyNumberFormat="1" applyFont="1" applyFill="1"/>
    <xf numFmtId="0" fontId="60" fillId="5" borderId="0" xfId="0" applyFont="1" applyFill="1"/>
    <xf numFmtId="0" fontId="69" fillId="5" borderId="0" xfId="0" applyFont="1" applyFill="1"/>
    <xf numFmtId="40" fontId="59" fillId="0" borderId="0" xfId="0" applyNumberFormat="1" applyFont="1" applyFill="1" applyBorder="1"/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16" fontId="0" fillId="0" borderId="0" xfId="0" applyNumberFormat="1" applyAlignment="1">
      <alignment horizontal="right"/>
    </xf>
    <xf numFmtId="40" fontId="51" fillId="0" borderId="19" xfId="0" applyNumberFormat="1" applyFont="1" applyFill="1" applyBorder="1" applyAlignment="1">
      <alignment wrapText="1"/>
    </xf>
    <xf numFmtId="40" fontId="50" fillId="0" borderId="16" xfId="0" applyNumberFormat="1" applyFont="1" applyFill="1" applyBorder="1"/>
    <xf numFmtId="40" fontId="50" fillId="0" borderId="0" xfId="0" applyNumberFormat="1" applyFont="1" applyFill="1" applyBorder="1"/>
    <xf numFmtId="0" fontId="90" fillId="0" borderId="0" xfId="0" applyFont="1"/>
    <xf numFmtId="0" fontId="91" fillId="0" borderId="0" xfId="0" applyFont="1"/>
    <xf numFmtId="40" fontId="54" fillId="0" borderId="19" xfId="0" applyNumberFormat="1" applyFont="1" applyBorder="1" applyAlignment="1">
      <alignment wrapText="1"/>
    </xf>
    <xf numFmtId="40" fontId="65" fillId="0" borderId="19" xfId="0" applyNumberFormat="1" applyFont="1" applyFill="1" applyBorder="1" applyAlignment="1">
      <alignment wrapText="1"/>
    </xf>
    <xf numFmtId="0" fontId="66" fillId="0" borderId="0" xfId="0" applyFont="1" applyAlignment="1">
      <alignment horizontal="center"/>
    </xf>
    <xf numFmtId="0" fontId="66" fillId="0" borderId="0" xfId="0" applyFont="1" applyBorder="1"/>
    <xf numFmtId="44" fontId="59" fillId="0" borderId="0" xfId="0" applyNumberFormat="1" applyFont="1"/>
    <xf numFmtId="8" fontId="59" fillId="0" borderId="0" xfId="0" applyNumberFormat="1" applyFont="1"/>
    <xf numFmtId="8" fontId="59" fillId="0" borderId="1" xfId="0" applyNumberFormat="1" applyFont="1" applyBorder="1"/>
    <xf numFmtId="0" fontId="66" fillId="0" borderId="6" xfId="0" applyFont="1" applyBorder="1" applyAlignment="1">
      <alignment horizontal="center"/>
    </xf>
    <xf numFmtId="8" fontId="59" fillId="0" borderId="6" xfId="0" applyNumberFormat="1" applyFont="1" applyBorder="1"/>
    <xf numFmtId="0" fontId="29" fillId="0" borderId="0" xfId="0" applyFont="1" applyBorder="1"/>
    <xf numFmtId="8" fontId="67" fillId="0" borderId="0" xfId="0" applyNumberFormat="1" applyFont="1" applyBorder="1"/>
    <xf numFmtId="8" fontId="54" fillId="0" borderId="0" xfId="0" applyNumberFormat="1" applyFont="1"/>
    <xf numFmtId="0" fontId="91" fillId="0" borderId="0" xfId="0" applyFont="1" applyBorder="1"/>
    <xf numFmtId="0" fontId="59" fillId="0" borderId="6" xfId="0" applyFont="1" applyBorder="1"/>
    <xf numFmtId="8" fontId="67" fillId="0" borderId="0" xfId="0" applyNumberFormat="1" applyFont="1"/>
    <xf numFmtId="8" fontId="69" fillId="0" borderId="19" xfId="0" applyNumberFormat="1" applyFont="1" applyFill="1" applyBorder="1" applyAlignment="1">
      <alignment wrapText="1"/>
    </xf>
    <xf numFmtId="40" fontId="0" fillId="0" borderId="19" xfId="0" applyNumberFormat="1" applyFill="1" applyBorder="1"/>
    <xf numFmtId="44" fontId="92" fillId="2" borderId="0" xfId="0" applyNumberFormat="1" applyFont="1" applyFill="1" applyBorder="1"/>
    <xf numFmtId="4" fontId="0" fillId="4" borderId="35" xfId="0" applyNumberFormat="1" applyFill="1" applyBorder="1"/>
    <xf numFmtId="0" fontId="0" fillId="4" borderId="36" xfId="0" applyFill="1" applyBorder="1"/>
    <xf numFmtId="4" fontId="0" fillId="4" borderId="36" xfId="0" applyNumberFormat="1" applyFill="1" applyBorder="1"/>
    <xf numFmtId="40" fontId="76" fillId="0" borderId="36" xfId="0" applyNumberFormat="1" applyFont="1" applyBorder="1"/>
    <xf numFmtId="0" fontId="0" fillId="0" borderId="40" xfId="0" applyFill="1" applyBorder="1"/>
    <xf numFmtId="40" fontId="76" fillId="0" borderId="40" xfId="0" applyNumberFormat="1" applyFont="1" applyBorder="1"/>
    <xf numFmtId="2" fontId="69" fillId="0" borderId="44" xfId="0" applyNumberFormat="1" applyFont="1" applyFill="1" applyBorder="1" applyAlignment="1">
      <alignment wrapText="1"/>
    </xf>
    <xf numFmtId="40" fontId="6" fillId="0" borderId="19" xfId="11" applyNumberFormat="1" applyFont="1" applyBorder="1" applyAlignment="1">
      <alignment horizontal="center"/>
    </xf>
    <xf numFmtId="40" fontId="6" fillId="0" borderId="42" xfId="1" applyNumberFormat="1" applyFont="1" applyBorder="1"/>
    <xf numFmtId="40" fontId="18" fillId="0" borderId="22" xfId="0" applyNumberFormat="1" applyFont="1" applyBorder="1"/>
    <xf numFmtId="40" fontId="6" fillId="0" borderId="22" xfId="1" applyNumberFormat="1" applyFont="1" applyFill="1" applyBorder="1"/>
    <xf numFmtId="0" fontId="0" fillId="0" borderId="27" xfId="0" applyFill="1" applyBorder="1"/>
    <xf numFmtId="0" fontId="0" fillId="0" borderId="2" xfId="0" applyFont="1" applyFill="1" applyBorder="1"/>
    <xf numFmtId="0" fontId="0" fillId="0" borderId="27" xfId="0" applyFont="1" applyFill="1" applyBorder="1"/>
    <xf numFmtId="0" fontId="0" fillId="0" borderId="26" xfId="0" applyFont="1" applyFill="1" applyBorder="1"/>
    <xf numFmtId="0" fontId="0" fillId="0" borderId="32" xfId="0" applyFill="1" applyBorder="1"/>
    <xf numFmtId="0" fontId="0" fillId="0" borderId="5" xfId="0" applyFill="1" applyBorder="1"/>
    <xf numFmtId="0" fontId="0" fillId="0" borderId="59" xfId="0" applyFill="1" applyBorder="1"/>
    <xf numFmtId="8" fontId="69" fillId="0" borderId="44" xfId="0" applyNumberFormat="1" applyFont="1" applyFill="1" applyBorder="1" applyAlignment="1">
      <alignment wrapText="1"/>
    </xf>
    <xf numFmtId="4" fontId="0" fillId="0" borderId="0" xfId="0" applyNumberFormat="1" applyFill="1"/>
    <xf numFmtId="8" fontId="0" fillId="0" borderId="0" xfId="0" applyNumberFormat="1" applyFill="1"/>
    <xf numFmtId="0" fontId="0" fillId="0" borderId="0" xfId="0" applyFill="1" applyAlignment="1">
      <alignment horizontal="right"/>
    </xf>
    <xf numFmtId="10" fontId="16" fillId="0" borderId="0" xfId="0" applyNumberFormat="1" applyFont="1" applyAlignment="1">
      <alignment wrapText="1"/>
    </xf>
    <xf numFmtId="0" fontId="0" fillId="0" borderId="19" xfId="0" applyBorder="1" applyAlignment="1">
      <alignment wrapText="1"/>
    </xf>
    <xf numFmtId="7" fontId="0" fillId="0" borderId="0" xfId="0" applyNumberFormat="1"/>
    <xf numFmtId="8" fontId="3" fillId="2" borderId="0" xfId="12" applyNumberFormat="1" applyFont="1" applyFill="1" applyBorder="1" applyAlignment="1">
      <alignment horizontal="centerContinuous"/>
    </xf>
    <xf numFmtId="8" fontId="0" fillId="0" borderId="19" xfId="0" applyNumberFormat="1" applyBorder="1"/>
    <xf numFmtId="10" fontId="0" fillId="0" borderId="19" xfId="0" applyNumberFormat="1" applyBorder="1" applyAlignment="1">
      <alignment wrapText="1"/>
    </xf>
    <xf numFmtId="10" fontId="0" fillId="0" borderId="0" xfId="0" applyNumberFormat="1" applyAlignment="1">
      <alignment wrapText="1"/>
    </xf>
    <xf numFmtId="10" fontId="51" fillId="0" borderId="23" xfId="0" applyNumberFormat="1" applyFont="1" applyBorder="1"/>
    <xf numFmtId="8" fontId="0" fillId="0" borderId="23" xfId="0" applyNumberFormat="1" applyBorder="1"/>
    <xf numFmtId="10" fontId="3" fillId="2" borderId="0" xfId="12" applyNumberFormat="1" applyFont="1" applyFill="1" applyBorder="1" applyAlignment="1">
      <alignment horizontal="right" vertical="center"/>
    </xf>
    <xf numFmtId="10" fontId="49" fillId="0" borderId="19" xfId="0" applyNumberFormat="1" applyFont="1" applyBorder="1" applyAlignment="1">
      <alignment wrapText="1"/>
    </xf>
    <xf numFmtId="7" fontId="51" fillId="0" borderId="8" xfId="0" applyNumberFormat="1" applyFont="1" applyBorder="1"/>
    <xf numFmtId="10" fontId="51" fillId="0" borderId="8" xfId="0" applyNumberFormat="1" applyFont="1" applyBorder="1"/>
    <xf numFmtId="7" fontId="0" fillId="0" borderId="0" xfId="0" applyNumberFormat="1" applyFont="1" applyFill="1"/>
    <xf numFmtId="10" fontId="51" fillId="0" borderId="10" xfId="0" applyNumberFormat="1" applyFont="1" applyBorder="1"/>
    <xf numFmtId="4" fontId="16" fillId="2" borderId="0" xfId="0" applyNumberFormat="1" applyFont="1" applyFill="1"/>
    <xf numFmtId="4" fontId="16" fillId="0" borderId="0" xfId="0" applyNumberFormat="1" applyFont="1"/>
    <xf numFmtId="4" fontId="19" fillId="4" borderId="0" xfId="0" applyNumberFormat="1" applyFont="1" applyFill="1" applyAlignment="1">
      <alignment wrapText="1"/>
    </xf>
    <xf numFmtId="40" fontId="69" fillId="4" borderId="44" xfId="0" applyNumberFormat="1" applyFont="1" applyFill="1" applyBorder="1" applyAlignment="1">
      <alignment wrapText="1"/>
    </xf>
    <xf numFmtId="4" fontId="3" fillId="2" borderId="0" xfId="11" applyNumberFormat="1" applyFont="1" applyFill="1" applyBorder="1" applyAlignment="1">
      <alignment horizontal="centerContinuous"/>
    </xf>
    <xf numFmtId="4" fontId="49" fillId="4" borderId="0" xfId="0" applyNumberFormat="1" applyFont="1" applyFill="1" applyBorder="1" applyAlignment="1">
      <alignment wrapText="1"/>
    </xf>
    <xf numFmtId="4" fontId="0" fillId="0" borderId="19" xfId="0" applyNumberFormat="1" applyFill="1" applyBorder="1"/>
    <xf numFmtId="40" fontId="76" fillId="4" borderId="0" xfId="0" applyNumberFormat="1" applyFont="1" applyFill="1"/>
    <xf numFmtId="40" fontId="0" fillId="4" borderId="0" xfId="0" applyNumberFormat="1" applyFont="1" applyFill="1"/>
    <xf numFmtId="40" fontId="53" fillId="4" borderId="19" xfId="0" applyNumberFormat="1" applyFont="1" applyFill="1" applyBorder="1"/>
    <xf numFmtId="40" fontId="51" fillId="4" borderId="19" xfId="0" applyNumberFormat="1" applyFont="1" applyFill="1" applyBorder="1" applyAlignment="1">
      <alignment wrapText="1"/>
    </xf>
    <xf numFmtId="0" fontId="35" fillId="0" borderId="0" xfId="0" quotePrefix="1" applyFont="1" applyBorder="1"/>
    <xf numFmtId="4" fontId="60" fillId="0" borderId="0" xfId="0" applyNumberFormat="1" applyFont="1" applyBorder="1"/>
    <xf numFmtId="0" fontId="60" fillId="0" borderId="67" xfId="0" applyFont="1" applyBorder="1"/>
    <xf numFmtId="44" fontId="82" fillId="0" borderId="0" xfId="0" applyNumberFormat="1" applyFont="1" applyBorder="1"/>
    <xf numFmtId="40" fontId="6" fillId="4" borderId="19" xfId="11" applyNumberFormat="1" applyFont="1" applyFill="1" applyBorder="1" applyAlignment="1">
      <alignment horizontal="center"/>
    </xf>
    <xf numFmtId="40" fontId="6" fillId="4" borderId="19" xfId="1" applyNumberFormat="1" applyFont="1" applyFill="1" applyBorder="1"/>
    <xf numFmtId="4" fontId="69" fillId="4" borderId="19" xfId="0" applyNumberFormat="1" applyFont="1" applyFill="1" applyBorder="1" applyAlignment="1">
      <alignment wrapText="1"/>
    </xf>
    <xf numFmtId="4" fontId="0" fillId="4" borderId="0" xfId="0" applyNumberFormat="1" applyFill="1"/>
    <xf numFmtId="4" fontId="55" fillId="4" borderId="19" xfId="0" applyNumberFormat="1" applyFont="1" applyFill="1" applyBorder="1"/>
    <xf numFmtId="40" fontId="18" fillId="4" borderId="22" xfId="0" applyNumberFormat="1" applyFont="1" applyFill="1" applyBorder="1"/>
    <xf numFmtId="4" fontId="0" fillId="4" borderId="0" xfId="0" applyNumberFormat="1" applyFont="1" applyFill="1"/>
    <xf numFmtId="40" fontId="59" fillId="4" borderId="0" xfId="0" applyNumberFormat="1" applyFont="1" applyFill="1" applyBorder="1"/>
    <xf numFmtId="44" fontId="54" fillId="4" borderId="19" xfId="0" applyNumberFormat="1" applyFont="1" applyFill="1" applyBorder="1"/>
    <xf numFmtId="40" fontId="0" fillId="0" borderId="6" xfId="0" applyNumberFormat="1" applyFill="1" applyBorder="1"/>
    <xf numFmtId="2" fontId="69" fillId="4" borderId="44" xfId="0" applyNumberFormat="1" applyFont="1" applyFill="1" applyBorder="1" applyAlignment="1">
      <alignment wrapText="1"/>
    </xf>
    <xf numFmtId="4" fontId="0" fillId="4" borderId="6" xfId="0" applyNumberFormat="1" applyFill="1" applyBorder="1"/>
    <xf numFmtId="44" fontId="18" fillId="4" borderId="0" xfId="0" applyNumberFormat="1" applyFont="1" applyFill="1"/>
    <xf numFmtId="8" fontId="0" fillId="4" borderId="0" xfId="0" applyNumberFormat="1" applyFill="1" applyBorder="1"/>
    <xf numFmtId="8" fontId="18" fillId="4" borderId="19" xfId="0" applyNumberFormat="1" applyFont="1" applyFill="1" applyBorder="1"/>
    <xf numFmtId="4" fontId="3" fillId="2" borderId="0" xfId="11" applyNumberFormat="1" applyFont="1" applyFill="1" applyBorder="1" applyAlignment="1">
      <alignment horizontal="left"/>
    </xf>
    <xf numFmtId="40" fontId="15" fillId="4" borderId="0" xfId="0" applyNumberFormat="1" applyFont="1" applyFill="1"/>
    <xf numFmtId="4" fontId="82" fillId="4" borderId="19" xfId="0" applyNumberFormat="1" applyFont="1" applyFill="1" applyBorder="1" applyAlignment="1">
      <alignment wrapText="1"/>
    </xf>
    <xf numFmtId="4" fontId="63" fillId="4" borderId="6" xfId="0" applyNumberFormat="1" applyFont="1" applyFill="1" applyBorder="1"/>
    <xf numFmtId="0" fontId="0" fillId="0" borderId="19" xfId="0" applyFill="1" applyBorder="1"/>
    <xf numFmtId="40" fontId="54" fillId="4" borderId="19" xfId="0" applyNumberFormat="1" applyFont="1" applyFill="1" applyBorder="1" applyAlignment="1">
      <alignment wrapText="1"/>
    </xf>
    <xf numFmtId="0" fontId="59" fillId="0" borderId="0" xfId="0" applyFont="1" applyBorder="1"/>
    <xf numFmtId="40" fontId="29" fillId="0" borderId="0" xfId="0" applyNumberFormat="1" applyFont="1" applyBorder="1"/>
    <xf numFmtId="40" fontId="59" fillId="0" borderId="0" xfId="0" applyNumberFormat="1" applyFont="1" applyBorder="1"/>
    <xf numFmtId="4" fontId="3" fillId="2" borderId="0" xfId="11" applyNumberFormat="1" applyFont="1" applyFill="1" applyBorder="1" applyAlignment="1">
      <alignment horizontal="left" vertical="top"/>
    </xf>
    <xf numFmtId="4" fontId="54" fillId="4" borderId="19" xfId="0" applyNumberFormat="1" applyFont="1" applyFill="1" applyBorder="1" applyAlignment="1">
      <alignment wrapText="1"/>
    </xf>
    <xf numFmtId="4" fontId="59" fillId="4" borderId="0" xfId="0" applyNumberFormat="1" applyFont="1" applyFill="1"/>
    <xf numFmtId="4" fontId="29" fillId="4" borderId="0" xfId="0" applyNumberFormat="1" applyFont="1" applyFill="1"/>
    <xf numFmtId="4" fontId="29" fillId="4" borderId="19" xfId="0" applyNumberFormat="1" applyFont="1" applyFill="1" applyBorder="1"/>
    <xf numFmtId="4" fontId="0" fillId="0" borderId="0" xfId="0" applyNumberFormat="1" applyFill="1" applyBorder="1"/>
    <xf numFmtId="4" fontId="3" fillId="2" borderId="0" xfId="12" applyNumberFormat="1" applyFont="1" applyFill="1" applyBorder="1" applyAlignment="1">
      <alignment horizontal="centerContinuous"/>
    </xf>
    <xf numFmtId="4" fontId="49" fillId="4" borderId="0" xfId="0" applyNumberFormat="1" applyFont="1" applyFill="1" applyAlignment="1">
      <alignment wrapText="1"/>
    </xf>
    <xf numFmtId="4" fontId="3" fillId="2" borderId="0" xfId="12" applyNumberFormat="1" applyFont="1" applyFill="1" applyBorder="1" applyAlignment="1">
      <alignment horizontal="right" vertical="center"/>
    </xf>
    <xf numFmtId="4" fontId="51" fillId="4" borderId="0" xfId="0" applyNumberFormat="1" applyFont="1" applyFill="1" applyAlignment="1">
      <alignment wrapText="1"/>
    </xf>
    <xf numFmtId="4" fontId="51" fillId="0" borderId="10" xfId="0" applyNumberFormat="1" applyFont="1" applyBorder="1"/>
    <xf numFmtId="0" fontId="4" fillId="0" borderId="24" xfId="5" quotePrefix="1" applyFont="1" applyFill="1" applyBorder="1"/>
    <xf numFmtId="0" fontId="4" fillId="0" borderId="21" xfId="5" applyFont="1" applyFill="1" applyBorder="1"/>
    <xf numFmtId="40" fontId="0" fillId="0" borderId="21" xfId="0" applyNumberFormat="1" applyFont="1" applyFill="1" applyBorder="1"/>
    <xf numFmtId="40" fontId="0" fillId="0" borderId="35" xfId="0" applyNumberFormat="1" applyFont="1" applyFill="1" applyBorder="1"/>
    <xf numFmtId="40" fontId="0" fillId="0" borderId="65" xfId="0" applyNumberFormat="1" applyFill="1" applyBorder="1"/>
    <xf numFmtId="4" fontId="0" fillId="0" borderId="35" xfId="0" applyNumberFormat="1" applyFill="1" applyBorder="1"/>
    <xf numFmtId="39" fontId="0" fillId="0" borderId="2" xfId="0" applyNumberFormat="1" applyFont="1" applyFill="1" applyBorder="1"/>
    <xf numFmtId="40" fontId="69" fillId="0" borderId="44" xfId="0" applyNumberFormat="1" applyFont="1" applyFill="1" applyBorder="1" applyAlignment="1">
      <alignment wrapText="1"/>
    </xf>
    <xf numFmtId="40" fontId="3" fillId="0" borderId="42" xfId="1" applyNumberFormat="1" applyFont="1" applyBorder="1"/>
    <xf numFmtId="0" fontId="49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51" fillId="0" borderId="0" xfId="0" applyFont="1" applyAlignment="1">
      <alignment wrapText="1"/>
    </xf>
    <xf numFmtId="4" fontId="51" fillId="0" borderId="0" xfId="0" applyNumberFormat="1" applyFont="1" applyAlignment="1">
      <alignment wrapText="1"/>
    </xf>
    <xf numFmtId="4" fontId="6" fillId="0" borderId="19" xfId="1" applyNumberFormat="1" applyFont="1" applyBorder="1" applyAlignment="1"/>
    <xf numFmtId="4" fontId="0" fillId="4" borderId="25" xfId="0" applyNumberFormat="1" applyFill="1" applyBorder="1"/>
    <xf numFmtId="4" fontId="0" fillId="4" borderId="27" xfId="0" applyNumberFormat="1" applyFill="1" applyBorder="1"/>
    <xf numFmtId="4" fontId="0" fillId="4" borderId="29" xfId="0" applyNumberFormat="1" applyFill="1" applyBorder="1"/>
    <xf numFmtId="40" fontId="3" fillId="4" borderId="42" xfId="1" applyNumberFormat="1" applyFont="1" applyFill="1" applyBorder="1"/>
    <xf numFmtId="4" fontId="0" fillId="4" borderId="0" xfId="0" applyNumberFormat="1" applyFill="1" applyBorder="1"/>
    <xf numFmtId="40" fontId="54" fillId="4" borderId="19" xfId="0" applyNumberFormat="1" applyFont="1" applyFill="1" applyBorder="1"/>
    <xf numFmtId="40" fontId="0" fillId="4" borderId="0" xfId="0" applyNumberFormat="1" applyFill="1" applyBorder="1"/>
    <xf numFmtId="40" fontId="0" fillId="4" borderId="0" xfId="0" applyNumberFormat="1" applyFill="1" applyAlignment="1">
      <alignment wrapText="1"/>
    </xf>
    <xf numFmtId="40" fontId="67" fillId="4" borderId="19" xfId="0" applyNumberFormat="1" applyFont="1" applyFill="1" applyBorder="1"/>
    <xf numFmtId="40" fontId="6" fillId="4" borderId="51" xfId="2" applyNumberFormat="1" applyFont="1" applyFill="1" applyBorder="1"/>
    <xf numFmtId="40" fontId="22" fillId="4" borderId="17" xfId="2" applyNumberFormat="1" applyFont="1" applyFill="1" applyBorder="1"/>
    <xf numFmtId="40" fontId="50" fillId="4" borderId="16" xfId="0" applyNumberFormat="1" applyFont="1" applyFill="1" applyBorder="1"/>
    <xf numFmtId="40" fontId="50" fillId="4" borderId="67" xfId="0" applyNumberFormat="1" applyFont="1" applyFill="1" applyBorder="1"/>
    <xf numFmtId="40" fontId="50" fillId="4" borderId="0" xfId="0" applyNumberFormat="1" applyFont="1" applyFill="1" applyBorder="1"/>
    <xf numFmtId="40" fontId="56" fillId="4" borderId="23" xfId="0" applyNumberFormat="1" applyFont="1" applyFill="1" applyBorder="1"/>
    <xf numFmtId="40" fontId="6" fillId="4" borderId="19" xfId="1" applyNumberFormat="1" applyFont="1" applyFill="1" applyBorder="1" applyAlignment="1"/>
    <xf numFmtId="40" fontId="6" fillId="4" borderId="23" xfId="1" applyNumberFormat="1" applyFont="1" applyFill="1" applyBorder="1" applyAlignment="1"/>
    <xf numFmtId="40" fontId="6" fillId="4" borderId="23" xfId="1" applyNumberFormat="1" applyFont="1" applyFill="1" applyBorder="1"/>
    <xf numFmtId="0" fontId="49" fillId="4" borderId="19" xfId="0" applyFont="1" applyFill="1" applyBorder="1" applyAlignment="1">
      <alignment wrapText="1"/>
    </xf>
    <xf numFmtId="40" fontId="64" fillId="4" borderId="0" xfId="0" applyNumberFormat="1" applyFont="1" applyFill="1" applyBorder="1"/>
    <xf numFmtId="40" fontId="18" fillId="4" borderId="23" xfId="0" applyNumberFormat="1" applyFont="1" applyFill="1" applyBorder="1"/>
    <xf numFmtId="0" fontId="49" fillId="4" borderId="0" xfId="0" applyFont="1" applyFill="1" applyAlignment="1">
      <alignment wrapText="1"/>
    </xf>
    <xf numFmtId="4" fontId="17" fillId="0" borderId="1" xfId="0" applyNumberFormat="1" applyFont="1" applyBorder="1"/>
    <xf numFmtId="4" fontId="17" fillId="0" borderId="4" xfId="0" applyNumberFormat="1" applyFont="1" applyBorder="1"/>
    <xf numFmtId="4" fontId="18" fillId="0" borderId="8" xfId="0" applyNumberFormat="1" applyFont="1" applyBorder="1"/>
    <xf numFmtId="4" fontId="17" fillId="0" borderId="0" xfId="0" applyNumberFormat="1" applyFont="1"/>
    <xf numFmtId="4" fontId="0" fillId="0" borderId="0" xfId="0" applyNumberFormat="1" applyBorder="1"/>
    <xf numFmtId="4" fontId="0" fillId="0" borderId="26" xfId="0" applyNumberFormat="1" applyBorder="1"/>
    <xf numFmtId="4" fontId="0" fillId="0" borderId="28" xfId="0" applyNumberFormat="1" applyBorder="1"/>
    <xf numFmtId="40" fontId="17" fillId="4" borderId="1" xfId="0" applyNumberFormat="1" applyFont="1" applyFill="1" applyBorder="1"/>
    <xf numFmtId="40" fontId="17" fillId="4" borderId="4" xfId="0" applyNumberFormat="1" applyFont="1" applyFill="1" applyBorder="1"/>
    <xf numFmtId="40" fontId="17" fillId="4" borderId="0" xfId="0" applyNumberFormat="1" applyFont="1" applyFill="1"/>
    <xf numFmtId="40" fontId="0" fillId="4" borderId="4" xfId="0" applyNumberFormat="1" applyFill="1" applyBorder="1"/>
    <xf numFmtId="40" fontId="0" fillId="4" borderId="66" xfId="0" applyNumberFormat="1" applyFill="1" applyBorder="1"/>
    <xf numFmtId="40" fontId="49" fillId="0" borderId="0" xfId="0" applyNumberFormat="1" applyFont="1" applyAlignment="1">
      <alignment wrapText="1"/>
    </xf>
    <xf numFmtId="40" fontId="0" fillId="0" borderId="0" xfId="0" applyNumberFormat="1" applyAlignment="1">
      <alignment wrapText="1"/>
    </xf>
    <xf numFmtId="0" fontId="64" fillId="0" borderId="1" xfId="0" applyFont="1" applyBorder="1"/>
    <xf numFmtId="44" fontId="53" fillId="0" borderId="1" xfId="0" applyNumberFormat="1" applyFont="1" applyBorder="1"/>
    <xf numFmtId="40" fontId="49" fillId="4" borderId="0" xfId="0" applyNumberFormat="1" applyFont="1" applyFill="1" applyAlignment="1">
      <alignment wrapText="1"/>
    </xf>
    <xf numFmtId="40" fontId="0" fillId="4" borderId="1" xfId="0" applyNumberFormat="1" applyFill="1" applyBorder="1"/>
    <xf numFmtId="44" fontId="53" fillId="4" borderId="0" xfId="0" applyNumberFormat="1" applyFont="1" applyFill="1" applyBorder="1"/>
    <xf numFmtId="44" fontId="53" fillId="4" borderId="0" xfId="0" applyNumberFormat="1" applyFont="1" applyFill="1"/>
    <xf numFmtId="44" fontId="0" fillId="4" borderId="0" xfId="0" applyNumberFormat="1" applyFill="1"/>
    <xf numFmtId="44" fontId="0" fillId="4" borderId="1" xfId="0" applyNumberFormat="1" applyFill="1" applyBorder="1"/>
    <xf numFmtId="0" fontId="0" fillId="0" borderId="0" xfId="0" applyFont="1"/>
    <xf numFmtId="4" fontId="0" fillId="4" borderId="6" xfId="0" applyNumberFormat="1" applyFont="1" applyFill="1" applyBorder="1"/>
    <xf numFmtId="40" fontId="53" fillId="4" borderId="0" xfId="0" applyNumberFormat="1" applyFont="1" applyFill="1"/>
    <xf numFmtId="0" fontId="0" fillId="4" borderId="0" xfId="0" applyFont="1" applyFill="1"/>
    <xf numFmtId="40" fontId="0" fillId="4" borderId="6" xfId="0" applyNumberFormat="1" applyFont="1" applyFill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40" fontId="0" fillId="4" borderId="6" xfId="0" applyNumberFormat="1" applyFill="1" applyBorder="1"/>
    <xf numFmtId="40" fontId="59" fillId="4" borderId="0" xfId="0" applyNumberFormat="1" applyFont="1" applyFill="1"/>
    <xf numFmtId="40" fontId="59" fillId="4" borderId="6" xfId="0" applyNumberFormat="1" applyFont="1" applyFill="1" applyBorder="1"/>
    <xf numFmtId="40" fontId="54" fillId="4" borderId="0" xfId="0" applyNumberFormat="1" applyFont="1" applyFill="1"/>
    <xf numFmtId="40" fontId="63" fillId="4" borderId="0" xfId="0" applyNumberFormat="1" applyFont="1" applyFill="1"/>
    <xf numFmtId="40" fontId="63" fillId="4" borderId="6" xfId="0" applyNumberFormat="1" applyFont="1" applyFill="1" applyBorder="1"/>
    <xf numFmtId="4" fontId="54" fillId="4" borderId="0" xfId="0" applyNumberFormat="1" applyFont="1" applyFill="1"/>
    <xf numFmtId="40" fontId="82" fillId="4" borderId="19" xfId="0" applyNumberFormat="1" applyFont="1" applyFill="1" applyBorder="1" applyAlignment="1">
      <alignment wrapText="1"/>
    </xf>
    <xf numFmtId="40" fontId="51" fillId="4" borderId="0" xfId="0" applyNumberFormat="1" applyFont="1" applyFill="1"/>
    <xf numFmtId="40" fontId="0" fillId="4" borderId="13" xfId="0" applyNumberFormat="1" applyFill="1" applyBorder="1"/>
    <xf numFmtId="4" fontId="63" fillId="4" borderId="0" xfId="0" applyNumberFormat="1" applyFont="1" applyFill="1"/>
    <xf numFmtId="4" fontId="51" fillId="4" borderId="19" xfId="0" applyNumberFormat="1" applyFont="1" applyFill="1" applyBorder="1" applyAlignment="1">
      <alignment wrapText="1"/>
    </xf>
    <xf numFmtId="164" fontId="0" fillId="2" borderId="0" xfId="0" applyNumberFormat="1" applyFill="1" applyBorder="1"/>
    <xf numFmtId="8" fontId="59" fillId="0" borderId="0" xfId="0" applyNumberFormat="1" applyFont="1" applyBorder="1"/>
    <xf numFmtId="4" fontId="49" fillId="4" borderId="0" xfId="0" applyNumberFormat="1" applyFont="1" applyFill="1"/>
    <xf numFmtId="164" fontId="65" fillId="4" borderId="19" xfId="0" applyNumberFormat="1" applyFont="1" applyFill="1" applyBorder="1" applyAlignment="1">
      <alignment wrapText="1"/>
    </xf>
    <xf numFmtId="164" fontId="0" fillId="4" borderId="0" xfId="0" applyNumberFormat="1" applyFill="1"/>
    <xf numFmtId="164" fontId="59" fillId="4" borderId="0" xfId="0" applyNumberFormat="1" applyFont="1" applyFill="1"/>
    <xf numFmtId="164" fontId="0" fillId="4" borderId="6" xfId="0" applyNumberFormat="1" applyFill="1" applyBorder="1"/>
    <xf numFmtId="164" fontId="54" fillId="4" borderId="0" xfId="0" applyNumberFormat="1" applyFont="1" applyFill="1"/>
    <xf numFmtId="164" fontId="59" fillId="4" borderId="6" xfId="0" applyNumberFormat="1" applyFont="1" applyFill="1" applyBorder="1"/>
    <xf numFmtId="40" fontId="65" fillId="4" borderId="19" xfId="0" applyNumberFormat="1" applyFont="1" applyFill="1" applyBorder="1" applyAlignment="1">
      <alignment wrapText="1"/>
    </xf>
    <xf numFmtId="8" fontId="59" fillId="4" borderId="0" xfId="0" applyNumberFormat="1" applyFont="1" applyFill="1"/>
    <xf numFmtId="8" fontId="59" fillId="4" borderId="6" xfId="0" applyNumberFormat="1" applyFont="1" applyFill="1" applyBorder="1"/>
    <xf numFmtId="8" fontId="54" fillId="4" borderId="0" xfId="0" applyNumberFormat="1" applyFont="1" applyFill="1"/>
    <xf numFmtId="44" fontId="59" fillId="4" borderId="0" xfId="0" applyNumberFormat="1" applyFont="1" applyFill="1"/>
    <xf numFmtId="0" fontId="52" fillId="0" borderId="0" xfId="0" applyFont="1" applyAlignment="1">
      <alignment horizontal="right"/>
    </xf>
    <xf numFmtId="0" fontId="4" fillId="0" borderId="0" xfId="13" applyFont="1" applyFill="1" applyBorder="1"/>
    <xf numFmtId="4" fontId="69" fillId="0" borderId="19" xfId="0" applyNumberFormat="1" applyFont="1" applyFill="1" applyBorder="1" applyAlignment="1">
      <alignment wrapText="1"/>
    </xf>
    <xf numFmtId="40" fontId="54" fillId="4" borderId="17" xfId="0" applyNumberFormat="1" applyFont="1" applyFill="1" applyBorder="1"/>
    <xf numFmtId="0" fontId="48" fillId="2" borderId="0" xfId="7" applyFont="1" applyFill="1" applyAlignment="1">
      <alignment horizontal="center"/>
    </xf>
    <xf numFmtId="0" fontId="29" fillId="2" borderId="0" xfId="0" applyFont="1" applyFill="1" applyAlignment="1">
      <alignment horizontal="center"/>
    </xf>
  </cellXfs>
  <cellStyles count="15">
    <cellStyle name="Comma" xfId="1" builtinId="3"/>
    <cellStyle name="Currency" xfId="14" builtinId="4"/>
    <cellStyle name="Normal" xfId="0" builtinId="0"/>
    <cellStyle name="Normal_111 Revenue-Other Sources" xfId="2" xr:uid="{00000000-0005-0000-0000-000003000000}"/>
    <cellStyle name="Normal_112-Exp and other uses" xfId="3" xr:uid="{00000000-0005-0000-0000-000004000000}"/>
    <cellStyle name="Normal_117-Exp and other uses" xfId="4" xr:uid="{00000000-0005-0000-0000-000005000000}"/>
    <cellStyle name="Normal_GF Expenditures" xfId="5" xr:uid="{00000000-0005-0000-0000-000006000000}"/>
    <cellStyle name="Normal_Sheet1" xfId="6" xr:uid="{00000000-0005-0000-0000-000007000000}"/>
    <cellStyle name="Normal_Sheet1 2" xfId="7" xr:uid="{00000000-0005-0000-0000-000008000000}"/>
    <cellStyle name="Normal_Sheet1_1" xfId="8" xr:uid="{00000000-0005-0000-0000-000009000000}"/>
    <cellStyle name="Normal_Sheet2" xfId="9" xr:uid="{00000000-0005-0000-0000-00000A000000}"/>
    <cellStyle name="Normal_Sheet2_1" xfId="10" xr:uid="{00000000-0005-0000-0000-00000B000000}"/>
    <cellStyle name="Normal_Sheet3" xfId="11" xr:uid="{00000000-0005-0000-0000-00000C000000}"/>
    <cellStyle name="Normal_Sheet3_1" xfId="12" xr:uid="{00000000-0005-0000-0000-00000D000000}"/>
    <cellStyle name="Normal_Sheet4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8.xml"/><Relationship Id="rId68" Type="http://schemas.openxmlformats.org/officeDocument/2006/relationships/externalLink" Target="externalLinks/externalLink13.xml"/><Relationship Id="rId76" Type="http://schemas.openxmlformats.org/officeDocument/2006/relationships/externalLink" Target="externalLinks/externalLink21.xml"/><Relationship Id="rId84" Type="http://schemas.openxmlformats.org/officeDocument/2006/relationships/externalLink" Target="externalLinks/externalLink29.xml"/><Relationship Id="rId89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6.xml"/><Relationship Id="rId92" Type="http://schemas.openxmlformats.org/officeDocument/2006/relationships/externalLink" Target="externalLinks/externalLink3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66" Type="http://schemas.openxmlformats.org/officeDocument/2006/relationships/externalLink" Target="externalLinks/externalLink11.xml"/><Relationship Id="rId74" Type="http://schemas.openxmlformats.org/officeDocument/2006/relationships/externalLink" Target="externalLinks/externalLink19.xml"/><Relationship Id="rId79" Type="http://schemas.openxmlformats.org/officeDocument/2006/relationships/externalLink" Target="externalLinks/externalLink24.xml"/><Relationship Id="rId87" Type="http://schemas.openxmlformats.org/officeDocument/2006/relationships/externalLink" Target="externalLinks/externalLink3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6.xml"/><Relationship Id="rId82" Type="http://schemas.openxmlformats.org/officeDocument/2006/relationships/externalLink" Target="externalLinks/externalLink27.xml"/><Relationship Id="rId90" Type="http://schemas.openxmlformats.org/officeDocument/2006/relationships/externalLink" Target="externalLinks/externalLink35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externalLink" Target="externalLinks/externalLink9.xml"/><Relationship Id="rId69" Type="http://schemas.openxmlformats.org/officeDocument/2006/relationships/externalLink" Target="externalLinks/externalLink14.xml"/><Relationship Id="rId77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7.xml"/><Relationship Id="rId80" Type="http://schemas.openxmlformats.org/officeDocument/2006/relationships/externalLink" Target="externalLinks/externalLink25.xml"/><Relationship Id="rId85" Type="http://schemas.openxmlformats.org/officeDocument/2006/relationships/externalLink" Target="externalLinks/externalLink30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Relationship Id="rId67" Type="http://schemas.openxmlformats.org/officeDocument/2006/relationships/externalLink" Target="externalLinks/externalLink1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7.xml"/><Relationship Id="rId70" Type="http://schemas.openxmlformats.org/officeDocument/2006/relationships/externalLink" Target="externalLinks/externalLink15.xml"/><Relationship Id="rId75" Type="http://schemas.openxmlformats.org/officeDocument/2006/relationships/externalLink" Target="externalLinks/externalLink20.xml"/><Relationship Id="rId83" Type="http://schemas.openxmlformats.org/officeDocument/2006/relationships/externalLink" Target="externalLinks/externalLink28.xml"/><Relationship Id="rId88" Type="http://schemas.openxmlformats.org/officeDocument/2006/relationships/externalLink" Target="externalLinks/externalLink33.xml"/><Relationship Id="rId91" Type="http://schemas.openxmlformats.org/officeDocument/2006/relationships/externalLink" Target="externalLinks/externalLink36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65" Type="http://schemas.openxmlformats.org/officeDocument/2006/relationships/externalLink" Target="externalLinks/externalLink10.xml"/><Relationship Id="rId73" Type="http://schemas.openxmlformats.org/officeDocument/2006/relationships/externalLink" Target="externalLinks/externalLink18.xml"/><Relationship Id="rId78" Type="http://schemas.openxmlformats.org/officeDocument/2006/relationships/externalLink" Target="externalLinks/externalLink23.xml"/><Relationship Id="rId81" Type="http://schemas.openxmlformats.org/officeDocument/2006/relationships/externalLink" Target="externalLinks/externalLink26.xml"/><Relationship Id="rId86" Type="http://schemas.openxmlformats.org/officeDocument/2006/relationships/externalLink" Target="externalLinks/externalLink31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53511</xdr:colOff>
      <xdr:row>89</xdr:row>
      <xdr:rowOff>85618</xdr:rowOff>
    </xdr:from>
    <xdr:to>
      <xdr:col>28</xdr:col>
      <xdr:colOff>1031919</xdr:colOff>
      <xdr:row>91</xdr:row>
      <xdr:rowOff>184969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4DC677D-257A-4503-A87B-A178D56D53B8}"/>
            </a:ext>
          </a:extLst>
        </xdr:cNvPr>
        <xdr:cNvSpPr/>
      </xdr:nvSpPr>
      <xdr:spPr>
        <a:xfrm>
          <a:off x="11997219" y="14779803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1341120</xdr:colOff>
      <xdr:row>22</xdr:row>
      <xdr:rowOff>220980</xdr:rowOff>
    </xdr:from>
    <xdr:to>
      <xdr:col>5</xdr:col>
      <xdr:colOff>198120</xdr:colOff>
      <xdr:row>23</xdr:row>
      <xdr:rowOff>198120</xdr:rowOff>
    </xdr:to>
    <xdr:sp macro="" textlink="">
      <xdr:nvSpPr>
        <xdr:cNvPr id="3" name="Block Arc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315200" y="6438900"/>
          <a:ext cx="327660" cy="228600"/>
        </a:xfrm>
        <a:prstGeom prst="blockArc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/Documents/2016-2017%20BUDGET%20FILES/2016-2017%20BUDGET%20WORK%20COPY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BANK%20RECONCILIATIONS/2019-2020%20GENERAL%20FUND%20001%20BANK%20RECONCILIATION%20(version%201)(AutoRecovered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/Documents/2016-2017%20REVENUES%20BY%20FUND/SUMMARY%20GENERAL%20REVENUES%202016-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REVENUES/SUMMARY%20GENERAL%20REVENUES%202019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Transfer%20Activity%20Detai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EXPENDITURES/SUMMARY%20OF%20GENERAL%20EXPENDITURES%202019-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NTHLY%20GASOLINE%20REVENUES%202015-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REVENUES/SUMMARY%20OF%20GASOLINE%20REVENUE%202019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/Documents/2016-2017%20REVENUES%20BY%20FUND/SUMMARY%20OF%20GASOLINE%20REVENUE%202016-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MULTIPURPOSE%20ENTRIES/GASOLINE%20III%20MP%20ENTRIES%202019-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6-2017%20REVENUES%20BY%20FUND\SUMMARY%20OF%20GASOLINE%20REVENUE%202016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AppData\Local\Temp\Users\Tamara\Documents\2011-2012%20EXPENDITURES%20SUMMARY%20BY%20FUND\GENERAL%20EXPENDITURES%202011-2012\SUMMARY%20OF%20GENERAL%20EXPENDITURES%202011-2012%20(Autosaved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6-2017%20MULTIPURPOSE%20JOURNAL%20ENTRIES\temp%20gasoline%20revenues%20apr-july%20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RR-2%20EXPENDITURE%20SUMMARY_2015-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%20files%209102017\Temp%20files%209182017\GASOLINE%20III%20EXPENDITURES_2016-2017\SUMMARY%20OF%20GASOLINE%20EXPENDITURES%202016-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EXPENDITURES/SUMMARY%20OF%20GASOLINE%20EXPENDITURES%202019-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6-2017%20EXPENDITURES%20BY%20FUND\GASOLINE%20III%20EXPENDITURES_2016-2017\SUMMARY%20OF%20GASOLINE%20EXPENDITURES%202016-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0%20-%202011%20BUDGET%20FILES\2010-2011%20BUDGET%20WORK%20COP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2-2013%20BUDGET%20FILES\2012-2013%20APPROVED%20BUDGET%20AT%20JANUARY%2022%20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3-2014%20BUDGET%20FILES\OTHER%20FUND%20REVENUES%20(GENERAL%20AND%20GASOLINE%20POTENTIAL%20TRANSFERS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BANK%20RECONCILIATIONS/DEBT%20REDUCTION_2019-2020%20BANK%20RECONCILIATION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REVENUES/SUMMARY%20OF%20OTHER%20FUNDS%20REVENUES_2019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7-2008%20EXPENDITURES\SUMMARY%20OF%20GENERAL%20EXPENDITURE_2007-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BANK%20RECONCILIATIONS/ROAD%20&amp;%20BRIDGE%20_2019-2020%20BANK%20RECONCILIATION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/Documents/2016-2017%20REVENUES%20BY%20FUND/SUMMARY%20OF%20OTHER%20FUNDS%20REVENUES_2016-2017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BANK%20RECONCILIATIONS/CAPITAL%20IMPROVEMENT_2019-2020%20BANK%20RECONCILIATION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%20files%209102017\Temp%20files%209182017\RRR-2%20EXPENDITURE%20SUMMARY_2016-2017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MMARY%20OF%20OTHER%20FUNDS%20REVENUES_2015-2016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4-2015%20REVENUES%20SUMMARY\2014-2015%20SUMMARY%20OF%20OTHER%20FUNDS%20REVENUE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EXPENDITURES/SUMMARY%20OF%20OTHER%20FUNDS%20EXPENDITURES_2019-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MULTIPURPOSE%20ENTRIES/REBUILD%20ALABAMA%20GAS%20TAX%20MP%20ENTRIES_2019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8-2009_Expenditures\2008-2009%20GENERAL%20EXPENDITURES\SUMMARY%20OF%20GENERAL%20EXP_2008-20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AppData\Local\Temp\Users\Tamara\Documents\2011-2012%20EXPENDITURES%20SUMMARY%20BY%20FUND\GENERAL%20EXPENDITURES%202011-2012\GENERAL%20EXPENDITURES%202011-2012\SUMMARY%20OF%20GENERAL%20EXPENDITURES%202011-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tamaracash\My%20Documents\2007-2008%20ORIGINAL%20BUDGET\2007-2008_%20ORIGINAL%20BUDGET_ADOP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amara\Documents\2016-2017%20EXPENDITURES%20BY%20FUND\GENERAL%20EXPENDITURES_2016-2017\SUMMARY%20OF%20GENERAL%20EXPENDITURES%202016-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2019%20BUDGET%20FILES\2018-2019%20DEBT%20PAYMENT%20SCHEDULE_INCL%20CAPITAL%20LEAS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2019-2020%20DEBT%20PAYMENT%20SCHEDULE_INCL%20CAPITAL%20LE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-2014 BUDGET SUMMARY"/>
      <sheetName val="GENERAL FUND SUMMARY"/>
      <sheetName val="GENERAL FUND REVENUE"/>
      <sheetName val="51100"/>
      <sheetName val="51101 COURTHSE EXP"/>
      <sheetName val="51102 CRT HOUSE ANNEX II"/>
      <sheetName val="51210"/>
      <sheetName val="51212"/>
      <sheetName val="51220"/>
      <sheetName val="51260"/>
      <sheetName val="51300"/>
      <sheetName val="51600"/>
      <sheetName val="51601"/>
      <sheetName val="51910"/>
      <sheetName val="51920"/>
      <sheetName val="52100 &amp;52200"/>
      <sheetName val="52300"/>
      <sheetName val="52900"/>
      <sheetName val="52950"/>
      <sheetName val="55100"/>
      <sheetName val="55200"/>
      <sheetName val="55450"/>
      <sheetName val="56100"/>
      <sheetName val="56200"/>
      <sheetName val="56300"/>
      <sheetName val="57000"/>
      <sheetName val="57100"/>
      <sheetName val="58100"/>
      <sheetName val="58201"/>
      <sheetName val="59200"/>
      <sheetName val="111 Revenue-Other Sources"/>
      <sheetName val="111-53700"/>
      <sheetName val="111-Summary"/>
      <sheetName val="050-Debt Reduction"/>
      <sheetName val="112 Rev &amp; Exp Other Source-Uses"/>
      <sheetName val="113-Rev and other sources"/>
      <sheetName val="116-Revenue &amp; Exp"/>
      <sheetName val="117-Rev-Other Sources &amp; Expense"/>
      <sheetName val="118-Revenue &amp; Expenses"/>
      <sheetName val="119-Revenues &amp; Expenses"/>
      <sheetName val="152 Civil Defense"/>
      <sheetName val="511-SOLD WASTE 2015-2016"/>
      <sheetName val="511 - SOLID WASTE 2014-2015"/>
      <sheetName val="135 STORM SHELTER"/>
      <sheetName val="MOTOR VEHICLE TRAINING"/>
    </sheetNames>
    <sheetDataSet>
      <sheetData sheetId="0"/>
      <sheetData sheetId="1"/>
      <sheetData sheetId="2">
        <row r="10">
          <cell r="Y10">
            <v>2698912</v>
          </cell>
        </row>
        <row r="12">
          <cell r="Y12">
            <v>369323</v>
          </cell>
        </row>
        <row r="13">
          <cell r="Y13">
            <v>336015</v>
          </cell>
        </row>
        <row r="14">
          <cell r="Y14">
            <v>72556</v>
          </cell>
        </row>
        <row r="21">
          <cell r="Y21">
            <v>692409</v>
          </cell>
        </row>
        <row r="26">
          <cell r="Y26">
            <v>70000</v>
          </cell>
        </row>
        <row r="27">
          <cell r="Y27">
            <v>34000</v>
          </cell>
        </row>
        <row r="28">
          <cell r="Y28">
            <v>2714</v>
          </cell>
        </row>
        <row r="29">
          <cell r="Y29">
            <v>373</v>
          </cell>
        </row>
        <row r="30">
          <cell r="Y30">
            <v>740</v>
          </cell>
        </row>
        <row r="32">
          <cell r="Y32">
            <v>420</v>
          </cell>
        </row>
        <row r="34">
          <cell r="Y34">
            <v>192007</v>
          </cell>
        </row>
        <row r="36">
          <cell r="Y36">
            <v>186325</v>
          </cell>
        </row>
        <row r="38">
          <cell r="Y38">
            <v>55079</v>
          </cell>
        </row>
        <row r="39">
          <cell r="Y39">
            <v>37600</v>
          </cell>
        </row>
        <row r="82">
          <cell r="Y82">
            <v>1002287</v>
          </cell>
        </row>
      </sheetData>
      <sheetData sheetId="3">
        <row r="66">
          <cell r="O66">
            <v>369323</v>
          </cell>
        </row>
        <row r="67">
          <cell r="O67">
            <v>336015</v>
          </cell>
        </row>
        <row r="68">
          <cell r="O68">
            <v>72556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001 OCT 2019 GL"/>
      <sheetName val="GEN 001 OCT 2019 RECON"/>
      <sheetName val="GEN 001 NOV 2019 GL"/>
      <sheetName val="GEN 001 NOV 2019 RECON"/>
      <sheetName val="GEN 001 DEC 2019 GL"/>
      <sheetName val="GEN 001 DEC 2019 RECON"/>
      <sheetName val="GEN 001 JAN 2020 GL"/>
      <sheetName val="GEN 001 JAN 2020 RECON"/>
      <sheetName val="GEN 001 FEB 2020 GL"/>
      <sheetName val="GEN 001 FEB 2020 RECON"/>
      <sheetName val="GEN 001 MAR 2020 GL"/>
      <sheetName val="GEN 001 MAR 2020 RECON"/>
      <sheetName val="GEN 001 APR 2020 GL"/>
      <sheetName val="GEN 001 APR 2020 RECON"/>
      <sheetName val="GEN 001 MAY 2020 GL"/>
      <sheetName val="GEN 001 MAY 2020 RECON"/>
      <sheetName val="GEN 001 JUNE 2020 GL"/>
      <sheetName val="GEN 001 JUNE 2020 RECON"/>
      <sheetName val="GEN 001 JULY 2020 GL"/>
      <sheetName val="GEN 001 JULY 2020 RECON"/>
      <sheetName val="GEN 001 AUG 2020 GL"/>
      <sheetName val="GEN 001 AUG 2020 RECON"/>
      <sheetName val="GEN 001 SEP 2020 GL"/>
      <sheetName val="GEN 001 SEP 2020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7">
          <cell r="F17">
            <v>23958.099999999744</v>
          </cell>
        </row>
      </sheetData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V17">
            <v>106786.97</v>
          </cell>
          <cell r="X17">
            <v>3239.6400000000008</v>
          </cell>
        </row>
        <row r="19">
          <cell r="B19">
            <v>1077845.2</v>
          </cell>
          <cell r="C19">
            <v>81089.899999999994</v>
          </cell>
          <cell r="D19">
            <v>27000</v>
          </cell>
          <cell r="F19">
            <v>271424.57</v>
          </cell>
          <cell r="G19">
            <v>307274.68</v>
          </cell>
          <cell r="H19">
            <v>66658.13</v>
          </cell>
          <cell r="I19">
            <v>43155.45</v>
          </cell>
          <cell r="J19">
            <v>10167.11</v>
          </cell>
          <cell r="K19">
            <v>26452.059999999998</v>
          </cell>
          <cell r="L19">
            <v>118.80000000000001</v>
          </cell>
          <cell r="M19">
            <v>19770.489999999998</v>
          </cell>
          <cell r="N19">
            <v>20.43</v>
          </cell>
          <cell r="O19">
            <v>2058.84</v>
          </cell>
          <cell r="Q19">
            <v>6615</v>
          </cell>
          <cell r="R19">
            <v>5291.5</v>
          </cell>
          <cell r="S19">
            <v>1850</v>
          </cell>
          <cell r="T19">
            <v>1597.34</v>
          </cell>
          <cell r="U19">
            <v>5270.36</v>
          </cell>
          <cell r="Y19">
            <v>52293.02</v>
          </cell>
          <cell r="AC19">
            <v>16362.800000000001</v>
          </cell>
          <cell r="AD19">
            <v>177.95999999999998</v>
          </cell>
          <cell r="AE19">
            <v>54.269999999999996</v>
          </cell>
          <cell r="AG19">
            <v>2498.06</v>
          </cell>
          <cell r="AK19">
            <v>12100</v>
          </cell>
          <cell r="AM19">
            <v>6741.11</v>
          </cell>
          <cell r="AN19">
            <v>47326.329999999994</v>
          </cell>
          <cell r="AQ19">
            <v>29645.690000000002</v>
          </cell>
          <cell r="AS19">
            <v>238336.01000000004</v>
          </cell>
          <cell r="AU19">
            <v>37974.480000000003</v>
          </cell>
          <cell r="AV19">
            <v>1830</v>
          </cell>
          <cell r="AX19">
            <v>201.88000000000002</v>
          </cell>
          <cell r="AY19">
            <v>9255.31</v>
          </cell>
          <cell r="BA19">
            <v>150</v>
          </cell>
          <cell r="BD19">
            <v>144553.65</v>
          </cell>
          <cell r="BE19">
            <v>10057.849999999999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C17">
            <v>83117.679999999993</v>
          </cell>
        </row>
        <row r="20">
          <cell r="B20">
            <v>1196437.04</v>
          </cell>
          <cell r="D20">
            <v>19500</v>
          </cell>
          <cell r="F20">
            <v>444361.88</v>
          </cell>
          <cell r="G20">
            <v>298742.61</v>
          </cell>
          <cell r="H20">
            <v>64504.560000000012</v>
          </cell>
          <cell r="I20">
            <v>47382.650000000009</v>
          </cell>
          <cell r="J20">
            <v>10607.52</v>
          </cell>
          <cell r="K20">
            <v>393.5</v>
          </cell>
          <cell r="L20">
            <v>717.64999999999986</v>
          </cell>
          <cell r="M20">
            <v>13053.669999999998</v>
          </cell>
          <cell r="N20">
            <v>287.02</v>
          </cell>
          <cell r="O20">
            <v>2217.09</v>
          </cell>
          <cell r="Q20">
            <v>10434</v>
          </cell>
          <cell r="R20">
            <v>4757.5</v>
          </cell>
          <cell r="S20">
            <v>1950</v>
          </cell>
          <cell r="T20">
            <v>1911.71</v>
          </cell>
          <cell r="U20">
            <v>573.24</v>
          </cell>
          <cell r="V20">
            <v>105647.84</v>
          </cell>
          <cell r="W20">
            <v>58874.409999999996</v>
          </cell>
          <cell r="X20">
            <v>2969.6700000000005</v>
          </cell>
          <cell r="Y20">
            <v>53478.470477000003</v>
          </cell>
          <cell r="AA20">
            <v>28095.25</v>
          </cell>
          <cell r="AC20">
            <v>26180.479999999996</v>
          </cell>
          <cell r="AD20">
            <v>97.109999999999985</v>
          </cell>
          <cell r="AG20">
            <v>34806.17</v>
          </cell>
          <cell r="AK20">
            <v>17654.575609756099</v>
          </cell>
          <cell r="AM20">
            <v>24922.170000000002</v>
          </cell>
          <cell r="AN20">
            <v>40563.880000000005</v>
          </cell>
          <cell r="AQ20">
            <v>25240.16</v>
          </cell>
          <cell r="AS20">
            <v>214641.91999999998</v>
          </cell>
          <cell r="AU20">
            <v>109884.23</v>
          </cell>
          <cell r="AV20">
            <v>6247.48</v>
          </cell>
          <cell r="AW20">
            <v>54.680000000000007</v>
          </cell>
          <cell r="AX20">
            <v>227.76999999999998</v>
          </cell>
          <cell r="AY20">
            <v>183</v>
          </cell>
          <cell r="BA20">
            <v>1050</v>
          </cell>
          <cell r="BD20">
            <v>24066.390000000003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heet3"/>
    </sheetNames>
    <sheetDataSet>
      <sheetData sheetId="0"/>
      <sheetData sheetId="1">
        <row r="135">
          <cell r="D135">
            <v>144533.82</v>
          </cell>
        </row>
        <row r="150">
          <cell r="D150">
            <v>100402.46</v>
          </cell>
        </row>
        <row r="157">
          <cell r="D157">
            <v>109250</v>
          </cell>
        </row>
        <row r="161">
          <cell r="C161">
            <v>197000</v>
          </cell>
        </row>
        <row r="170">
          <cell r="C170">
            <v>131710</v>
          </cell>
        </row>
        <row r="172">
          <cell r="D172">
            <v>603781.75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by Dept"/>
      <sheetName val="Sum by Govt Act"/>
      <sheetName val="Sheet3"/>
    </sheetNames>
    <sheetDataSet>
      <sheetData sheetId="0">
        <row r="17">
          <cell r="L17">
            <v>31279.31</v>
          </cell>
          <cell r="R17">
            <v>25360.19</v>
          </cell>
          <cell r="X17">
            <v>42384.9</v>
          </cell>
          <cell r="AD17">
            <v>7493</v>
          </cell>
          <cell r="AK17">
            <v>54877.02</v>
          </cell>
          <cell r="AM17">
            <v>2238.87</v>
          </cell>
          <cell r="AS17">
            <v>7557.1900000000005</v>
          </cell>
          <cell r="AZ17">
            <v>2630.61</v>
          </cell>
          <cell r="BA17">
            <v>1590.8399999999997</v>
          </cell>
          <cell r="BD17">
            <v>22417.260000000002</v>
          </cell>
          <cell r="BM17">
            <v>380.31</v>
          </cell>
          <cell r="BN17">
            <v>19062.379999999997</v>
          </cell>
          <cell r="BO17">
            <v>722.91000000000008</v>
          </cell>
          <cell r="BP17">
            <v>3992.6</v>
          </cell>
          <cell r="BT17">
            <v>2612.19</v>
          </cell>
          <cell r="BV17">
            <v>1072.8</v>
          </cell>
          <cell r="BW17">
            <v>800</v>
          </cell>
          <cell r="BX17">
            <v>35.25</v>
          </cell>
          <cell r="CA17">
            <v>1540</v>
          </cell>
          <cell r="CB17">
            <v>85136.62</v>
          </cell>
        </row>
        <row r="32">
          <cell r="Q32">
            <v>1560</v>
          </cell>
          <cell r="AM32">
            <v>90</v>
          </cell>
          <cell r="AV32">
            <v>511.32000000000005</v>
          </cell>
          <cell r="AX32">
            <v>13646.99</v>
          </cell>
          <cell r="AZ32">
            <v>1619.1100000000001</v>
          </cell>
          <cell r="BD32">
            <v>64749.549999999988</v>
          </cell>
          <cell r="BK32">
            <v>52836.37000000001</v>
          </cell>
          <cell r="BM32">
            <v>786.61</v>
          </cell>
          <cell r="BN32">
            <v>46030.039999999994</v>
          </cell>
          <cell r="CM32">
            <v>1896</v>
          </cell>
        </row>
        <row r="46">
          <cell r="Q46">
            <v>1560</v>
          </cell>
          <cell r="BD46">
            <v>1400</v>
          </cell>
          <cell r="BK46">
            <v>10318.560000000001</v>
          </cell>
          <cell r="BN46">
            <v>8978.4900000000016</v>
          </cell>
        </row>
        <row r="60">
          <cell r="E60">
            <v>2401.3779999999997</v>
          </cell>
          <cell r="K60">
            <v>188.88799999999995</v>
          </cell>
        </row>
        <row r="118">
          <cell r="D118">
            <v>73340.800000000003</v>
          </cell>
          <cell r="E118">
            <v>42939.826999999997</v>
          </cell>
          <cell r="F118">
            <v>108.22999999999999</v>
          </cell>
          <cell r="H118">
            <v>1932.2919999999999</v>
          </cell>
          <cell r="I118">
            <v>13875.449999999999</v>
          </cell>
          <cell r="J118">
            <v>293.875</v>
          </cell>
          <cell r="K118">
            <v>8699.5400000000009</v>
          </cell>
          <cell r="X118">
            <v>32202.989999999998</v>
          </cell>
          <cell r="AD118">
            <v>1675</v>
          </cell>
          <cell r="AM118">
            <v>288.89999999999998</v>
          </cell>
          <cell r="AS118">
            <v>3774.78</v>
          </cell>
          <cell r="AZ118">
            <v>113</v>
          </cell>
          <cell r="BA118">
            <v>1923.6100000000001</v>
          </cell>
          <cell r="BN118">
            <v>63.66</v>
          </cell>
          <cell r="BO118">
            <v>159</v>
          </cell>
          <cell r="BP118">
            <v>120.94</v>
          </cell>
          <cell r="BT118">
            <v>280.8</v>
          </cell>
          <cell r="BV118">
            <v>605.49</v>
          </cell>
          <cell r="BW118">
            <v>525</v>
          </cell>
          <cell r="CA118">
            <v>311.95999999999998</v>
          </cell>
        </row>
        <row r="133">
          <cell r="D133">
            <v>72871.762000000017</v>
          </cell>
          <cell r="E133">
            <v>41641.362000000008</v>
          </cell>
          <cell r="F133">
            <v>9.19</v>
          </cell>
          <cell r="H133">
            <v>5428.5429999999997</v>
          </cell>
          <cell r="I133">
            <v>23279.890999999996</v>
          </cell>
          <cell r="J133">
            <v>457.66399999999999</v>
          </cell>
          <cell r="K133">
            <v>8088.8600000000006</v>
          </cell>
          <cell r="X133">
            <v>39172.040000000008</v>
          </cell>
          <cell r="AD133">
            <v>750</v>
          </cell>
          <cell r="AM133">
            <v>288.89999999999998</v>
          </cell>
          <cell r="AS133">
            <v>1316.3899999999999</v>
          </cell>
          <cell r="AZ133">
            <v>197.82</v>
          </cell>
          <cell r="BA133">
            <v>847.12</v>
          </cell>
          <cell r="BN133">
            <v>277.07</v>
          </cell>
          <cell r="BO133">
            <v>202.76999999999998</v>
          </cell>
          <cell r="BP133">
            <v>2715</v>
          </cell>
          <cell r="BT133">
            <v>340.2</v>
          </cell>
          <cell r="BV133">
            <v>957.5</v>
          </cell>
          <cell r="BW133">
            <v>800</v>
          </cell>
          <cell r="CA133">
            <v>700</v>
          </cell>
          <cell r="CM133">
            <v>203</v>
          </cell>
        </row>
        <row r="163">
          <cell r="AG163">
            <v>407.05</v>
          </cell>
          <cell r="AH163">
            <v>19125</v>
          </cell>
          <cell r="AS163">
            <v>70211.95</v>
          </cell>
          <cell r="AZ163">
            <v>3755.5</v>
          </cell>
          <cell r="BA163">
            <v>1270</v>
          </cell>
          <cell r="BK163">
            <v>981.66</v>
          </cell>
          <cell r="BO163">
            <v>299.14999999999998</v>
          </cell>
          <cell r="BP163">
            <v>12671.68</v>
          </cell>
          <cell r="CH163">
            <v>5375</v>
          </cell>
          <cell r="CK163">
            <v>8250</v>
          </cell>
          <cell r="CM163">
            <v>705</v>
          </cell>
        </row>
        <row r="178">
          <cell r="E178">
            <v>39900</v>
          </cell>
          <cell r="K178">
            <v>3052.35</v>
          </cell>
          <cell r="AD178">
            <v>105</v>
          </cell>
          <cell r="AS178">
            <v>540.14</v>
          </cell>
          <cell r="BA178">
            <v>64</v>
          </cell>
          <cell r="BN178">
            <v>63.66</v>
          </cell>
          <cell r="BO178">
            <v>186.01999999999998</v>
          </cell>
          <cell r="BT178">
            <v>385.6</v>
          </cell>
          <cell r="BV178">
            <v>96.94</v>
          </cell>
        </row>
        <row r="208">
          <cell r="C208">
            <v>5000</v>
          </cell>
          <cell r="E208">
            <v>425676.038</v>
          </cell>
          <cell r="F208">
            <v>4634.1179999999995</v>
          </cell>
          <cell r="H208">
            <v>14897.022000000001</v>
          </cell>
          <cell r="I208">
            <v>92066.55</v>
          </cell>
          <cell r="J208">
            <v>1602.7240000000002</v>
          </cell>
          <cell r="K208">
            <v>40069.567999999999</v>
          </cell>
          <cell r="Q208">
            <v>1560</v>
          </cell>
          <cell r="T208">
            <v>162.75</v>
          </cell>
          <cell r="U208">
            <v>137.5</v>
          </cell>
          <cell r="X208">
            <v>1907</v>
          </cell>
          <cell r="AA208">
            <v>202.5</v>
          </cell>
          <cell r="AD208">
            <v>4025</v>
          </cell>
          <cell r="AK208">
            <v>174</v>
          </cell>
          <cell r="AM208">
            <v>7512</v>
          </cell>
          <cell r="AO208">
            <v>2548.04</v>
          </cell>
          <cell r="AP208">
            <v>3729.8</v>
          </cell>
          <cell r="AS208">
            <v>1857.3400000000001</v>
          </cell>
          <cell r="AT208">
            <v>17049.259999999998</v>
          </cell>
          <cell r="AW208">
            <v>2521.75</v>
          </cell>
          <cell r="AX208">
            <v>16830.14</v>
          </cell>
          <cell r="AZ208">
            <v>859.2</v>
          </cell>
          <cell r="BA208">
            <v>92</v>
          </cell>
          <cell r="BD208">
            <v>23674.409999999996</v>
          </cell>
          <cell r="BG208">
            <v>4636.32</v>
          </cell>
          <cell r="BK208">
            <v>34454.51</v>
          </cell>
          <cell r="BM208">
            <v>957.62</v>
          </cell>
          <cell r="BN208">
            <v>17322.169999999998</v>
          </cell>
          <cell r="BO208">
            <v>330</v>
          </cell>
          <cell r="BT208">
            <v>875.88</v>
          </cell>
          <cell r="BV208">
            <v>425.69</v>
          </cell>
          <cell r="BW208">
            <v>2045</v>
          </cell>
          <cell r="CM208">
            <v>1812</v>
          </cell>
        </row>
        <row r="223">
          <cell r="CC223">
            <v>30000</v>
          </cell>
        </row>
        <row r="238">
          <cell r="AM238">
            <v>307500</v>
          </cell>
        </row>
        <row r="253">
          <cell r="E253">
            <v>21760.237999999998</v>
          </cell>
          <cell r="F253">
            <v>763.37000000000012</v>
          </cell>
          <cell r="H253">
            <v>994.56700000000012</v>
          </cell>
          <cell r="I253">
            <v>11473.949999999999</v>
          </cell>
          <cell r="J253">
            <v>178.07500000000002</v>
          </cell>
          <cell r="K253">
            <v>1500.9090000000001</v>
          </cell>
        </row>
        <row r="295">
          <cell r="CC295">
            <v>30000</v>
          </cell>
        </row>
        <row r="338">
          <cell r="E338">
            <v>50603.650000000009</v>
          </cell>
          <cell r="H338">
            <v>2390.1910000000007</v>
          </cell>
          <cell r="I338">
            <v>5266.05</v>
          </cell>
          <cell r="J338">
            <v>44.515000000000001</v>
          </cell>
          <cell r="K338">
            <v>3813.0279999999998</v>
          </cell>
          <cell r="U338">
            <v>2295</v>
          </cell>
        </row>
        <row r="412">
          <cell r="DD412">
            <v>3000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OLINE REVENUE SUMMARY"/>
      <sheetName val="OCTOBER 2015"/>
      <sheetName val="NOVEMBER 2015"/>
      <sheetName val="DECEMBER 2015"/>
      <sheetName val="JANUARY 2016"/>
      <sheetName val="FEBRUARY 2016"/>
      <sheetName val="MARCH 2016"/>
      <sheetName val="APRIL 2016"/>
      <sheetName val="Sheet2"/>
      <sheetName val="MAY 2016"/>
      <sheetName val="JUNE 2016"/>
      <sheetName val="july 2016"/>
      <sheetName val="AUGUST 2016"/>
      <sheetName val="SEPTEMBER 2016"/>
      <sheetName val="Sheet1"/>
    </sheetNames>
    <sheetDataSet>
      <sheetData sheetId="0" refreshError="1">
        <row r="15">
          <cell r="B15">
            <v>40812.78</v>
          </cell>
          <cell r="C15">
            <v>650271.01</v>
          </cell>
          <cell r="D15">
            <v>105291</v>
          </cell>
          <cell r="F15">
            <v>154821.65</v>
          </cell>
          <cell r="H15">
            <v>68002.39</v>
          </cell>
          <cell r="K15">
            <v>6468.35</v>
          </cell>
          <cell r="M15">
            <v>468</v>
          </cell>
          <cell r="O15">
            <v>610</v>
          </cell>
          <cell r="P15">
            <v>6240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RY OF GAS III REV FY 20"/>
    </sheetNames>
    <sheetDataSet>
      <sheetData sheetId="0">
        <row r="17">
          <cell r="B17">
            <v>44762.179999999993</v>
          </cell>
          <cell r="C17">
            <v>669124.72</v>
          </cell>
          <cell r="D17">
            <v>129168.32000000001</v>
          </cell>
          <cell r="G17">
            <v>44241.43</v>
          </cell>
          <cell r="H17">
            <v>413024.32999999996</v>
          </cell>
          <cell r="I17">
            <v>0</v>
          </cell>
          <cell r="J17">
            <v>1500.45</v>
          </cell>
          <cell r="K17">
            <v>95.26</v>
          </cell>
          <cell r="O17">
            <v>462447.18</v>
          </cell>
          <cell r="S17">
            <v>13887.5</v>
          </cell>
          <cell r="T17">
            <v>15407.5</v>
          </cell>
          <cell r="U17">
            <v>4744.51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RY OF GAS III REV FY 16"/>
    </sheetNames>
    <sheetDataSet>
      <sheetData sheetId="0" refreshError="1">
        <row r="17">
          <cell r="C17">
            <v>590700.16999999993</v>
          </cell>
          <cell r="D17">
            <v>88856.200000000012</v>
          </cell>
          <cell r="G17">
            <v>93504</v>
          </cell>
          <cell r="J17">
            <v>14.48</v>
          </cell>
          <cell r="L17">
            <v>23427.37</v>
          </cell>
          <cell r="M17">
            <v>484602.94000000006</v>
          </cell>
          <cell r="N17">
            <v>200</v>
          </cell>
          <cell r="Q17">
            <v>17833.900000000001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9"/>
      <sheetName val="NOVEMBER 2019"/>
      <sheetName val="DECEMBER 2019"/>
      <sheetName val="JANUARY 2020"/>
      <sheetName val="FEBRUARY 2020"/>
      <sheetName val="MARCH 2020"/>
      <sheetName val="APRIL 2020"/>
      <sheetName val="MAY 2020"/>
      <sheetName val="JUNE 2020"/>
      <sheetName val="JULY 2020"/>
      <sheetName val="AUGUST 2020"/>
      <sheetName val="SEPTEMBER 2020"/>
      <sheetName val="ACCRUED PAY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8">
          <cell r="N68">
            <v>50143.67</v>
          </cell>
        </row>
      </sheetData>
      <sheetData sheetId="8">
        <row r="64">
          <cell r="N64">
            <v>101861.67</v>
          </cell>
        </row>
      </sheetData>
      <sheetData sheetId="9">
        <row r="47">
          <cell r="N47">
            <v>6098.94</v>
          </cell>
        </row>
      </sheetData>
      <sheetData sheetId="10"/>
      <sheetData sheetId="11">
        <row r="10">
          <cell r="N10">
            <v>30788.73</v>
          </cell>
        </row>
      </sheetData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RY OF GAS III REV FY 16"/>
    </sheetNames>
    <sheetDataSet>
      <sheetData sheetId="0">
        <row r="17">
          <cell r="C17">
            <v>290811.37</v>
          </cell>
          <cell r="H17">
            <v>185518</v>
          </cell>
          <cell r="I17">
            <v>614.72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D17">
            <v>96035.859999999986</v>
          </cell>
        </row>
        <row r="32">
          <cell r="DI32">
            <v>62201.81</v>
          </cell>
        </row>
        <row r="46">
          <cell r="DI46">
            <v>27463.910000000003</v>
          </cell>
        </row>
        <row r="60">
          <cell r="DI60">
            <v>2716.777</v>
          </cell>
        </row>
        <row r="74">
          <cell r="DI74">
            <v>764.73</v>
          </cell>
        </row>
        <row r="88">
          <cell r="DI88">
            <v>29386.420000000002</v>
          </cell>
        </row>
        <row r="103">
          <cell r="DI103">
            <v>3432.06</v>
          </cell>
        </row>
        <row r="118">
          <cell r="DI118">
            <v>202691.78899999999</v>
          </cell>
        </row>
        <row r="133">
          <cell r="DI133">
            <v>248773.07400000005</v>
          </cell>
        </row>
        <row r="148">
          <cell r="DI148">
            <v>1384.56</v>
          </cell>
        </row>
        <row r="178">
          <cell r="DI178">
            <v>39128.670000000013</v>
          </cell>
        </row>
        <row r="208">
          <cell r="DI208">
            <v>855243.58799999999</v>
          </cell>
        </row>
        <row r="253">
          <cell r="DI253">
            <v>32744.690999999999</v>
          </cell>
        </row>
        <row r="267">
          <cell r="DI267">
            <v>7219.9199999999992</v>
          </cell>
        </row>
        <row r="281">
          <cell r="DI281">
            <v>12500</v>
          </cell>
        </row>
        <row r="295">
          <cell r="DI295">
            <v>33070.399999999994</v>
          </cell>
        </row>
        <row r="323">
          <cell r="DI323">
            <v>24431.434999999994</v>
          </cell>
        </row>
        <row r="338">
          <cell r="DI338">
            <v>133231.47099999999</v>
          </cell>
        </row>
        <row r="353">
          <cell r="DI353">
            <v>9650</v>
          </cell>
        </row>
        <row r="367">
          <cell r="DI367">
            <v>106376.01800000001</v>
          </cell>
        </row>
        <row r="397">
          <cell r="DI397">
            <v>10782.004000000001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1">
          <cell r="C21">
            <v>241495.04000000004</v>
          </cell>
          <cell r="H21">
            <v>156975.96000000002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F6">
            <v>27343.599999999999</v>
          </cell>
        </row>
        <row r="18">
          <cell r="F18">
            <v>27905.71</v>
          </cell>
        </row>
        <row r="20">
          <cell r="F20">
            <v>11471.7</v>
          </cell>
        </row>
        <row r="21">
          <cell r="F21">
            <v>6754.23</v>
          </cell>
        </row>
        <row r="25">
          <cell r="F25">
            <v>32000.7</v>
          </cell>
        </row>
        <row r="27">
          <cell r="F27">
            <v>20620.95</v>
          </cell>
        </row>
        <row r="33">
          <cell r="F33">
            <v>27861.11</v>
          </cell>
        </row>
        <row r="40">
          <cell r="F40">
            <v>15021.11</v>
          </cell>
        </row>
        <row r="44">
          <cell r="F44">
            <v>10400.599999999999</v>
          </cell>
        </row>
        <row r="48">
          <cell r="F48">
            <v>11220.88</v>
          </cell>
        </row>
        <row r="52">
          <cell r="F52">
            <v>4465</v>
          </cell>
        </row>
        <row r="57">
          <cell r="F57">
            <v>6109.21</v>
          </cell>
        </row>
        <row r="59">
          <cell r="F59">
            <v>3230</v>
          </cell>
        </row>
        <row r="63">
          <cell r="F63">
            <v>12200.5</v>
          </cell>
        </row>
        <row r="68">
          <cell r="F68">
            <v>5921.25</v>
          </cell>
        </row>
        <row r="73">
          <cell r="F73">
            <v>15518.01</v>
          </cell>
        </row>
        <row r="75">
          <cell r="F75">
            <v>5919.08</v>
          </cell>
        </row>
        <row r="80">
          <cell r="F80">
            <v>12890.529999999999</v>
          </cell>
        </row>
        <row r="82">
          <cell r="F82">
            <v>5985</v>
          </cell>
        </row>
        <row r="83">
          <cell r="F83">
            <v>8438.93</v>
          </cell>
        </row>
        <row r="90">
          <cell r="F90">
            <v>28504.129999999997</v>
          </cell>
        </row>
        <row r="92">
          <cell r="F92">
            <v>2924.15</v>
          </cell>
        </row>
        <row r="93">
          <cell r="F93">
            <v>30226.36</v>
          </cell>
        </row>
        <row r="99">
          <cell r="F99">
            <v>31810.690000000002</v>
          </cell>
        </row>
        <row r="101">
          <cell r="F101">
            <v>20946.23</v>
          </cell>
        </row>
        <row r="102">
          <cell r="F102">
            <v>11471.7</v>
          </cell>
        </row>
        <row r="106">
          <cell r="F106">
            <v>11689.82</v>
          </cell>
        </row>
        <row r="108">
          <cell r="F108">
            <v>4328.24</v>
          </cell>
        </row>
        <row r="112">
          <cell r="F112">
            <v>7081.58</v>
          </cell>
        </row>
        <row r="116">
          <cell r="F116">
            <v>12597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BP6">
            <v>7508</v>
          </cell>
        </row>
        <row r="7">
          <cell r="BP7">
            <v>36208.1</v>
          </cell>
        </row>
        <row r="16">
          <cell r="B16">
            <v>810020.24</v>
          </cell>
          <cell r="C16">
            <v>34639.240000000005</v>
          </cell>
          <cell r="D16">
            <v>49326.659999999996</v>
          </cell>
          <cell r="E16">
            <v>139334.84999999998</v>
          </cell>
          <cell r="F16">
            <v>1206.1599999999999</v>
          </cell>
          <cell r="G16">
            <v>61282.78</v>
          </cell>
          <cell r="H16">
            <v>26810.89</v>
          </cell>
          <cell r="L16">
            <v>1080</v>
          </cell>
          <cell r="N16">
            <v>1894</v>
          </cell>
          <cell r="P16">
            <v>190</v>
          </cell>
          <cell r="Q16">
            <v>26234.720000000001</v>
          </cell>
          <cell r="U16">
            <v>685</v>
          </cell>
          <cell r="X16">
            <v>3140</v>
          </cell>
          <cell r="Z16">
            <v>5090.1099999999997</v>
          </cell>
          <cell r="AA16">
            <v>1582.98</v>
          </cell>
          <cell r="AD16">
            <v>9848.51</v>
          </cell>
          <cell r="AE16">
            <v>2456.9700000000003</v>
          </cell>
          <cell r="AF16">
            <v>94693.99000000002</v>
          </cell>
          <cell r="AG16">
            <v>193437.19</v>
          </cell>
          <cell r="AH16">
            <v>319.34000000000003</v>
          </cell>
          <cell r="AI16">
            <v>15820.51</v>
          </cell>
          <cell r="AJ16">
            <v>88.09</v>
          </cell>
          <cell r="AL16">
            <v>10144.959999999999</v>
          </cell>
          <cell r="AM16">
            <v>7019.36</v>
          </cell>
          <cell r="AQ16">
            <v>845.1</v>
          </cell>
          <cell r="AR16">
            <v>19409.54</v>
          </cell>
          <cell r="AT16">
            <v>41613.79</v>
          </cell>
          <cell r="AW16">
            <v>16185.59</v>
          </cell>
          <cell r="BC16">
            <v>1152.46</v>
          </cell>
          <cell r="BD16">
            <v>16469.78</v>
          </cell>
          <cell r="BE16">
            <v>148.79999999999998</v>
          </cell>
          <cell r="BF16">
            <v>247.68</v>
          </cell>
          <cell r="BH16">
            <v>190.51</v>
          </cell>
          <cell r="BJ16">
            <v>6804.9600000000009</v>
          </cell>
          <cell r="BK16">
            <v>4566.3</v>
          </cell>
          <cell r="BL16">
            <v>57.5</v>
          </cell>
          <cell r="BR16">
            <v>108.75</v>
          </cell>
          <cell r="BS16">
            <v>2353.2200000000003</v>
          </cell>
          <cell r="BT16">
            <v>10825.64</v>
          </cell>
          <cell r="CF16">
            <v>125725.81</v>
          </cell>
          <cell r="CG16">
            <v>4469.47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>
            <v>1071099.45</v>
          </cell>
          <cell r="C16">
            <v>33169.975999999995</v>
          </cell>
          <cell r="D16">
            <v>45513.597999999998</v>
          </cell>
          <cell r="E16">
            <v>171882.76699999999</v>
          </cell>
          <cell r="F16">
            <v>1304.702</v>
          </cell>
          <cell r="G16">
            <v>78188.563999999998</v>
          </cell>
          <cell r="H16">
            <v>24097.18</v>
          </cell>
          <cell r="I16">
            <v>342</v>
          </cell>
          <cell r="L16">
            <v>1680</v>
          </cell>
          <cell r="N16">
            <v>627</v>
          </cell>
          <cell r="P16">
            <v>18308</v>
          </cell>
          <cell r="T16">
            <v>150</v>
          </cell>
          <cell r="U16">
            <v>900</v>
          </cell>
          <cell r="W16">
            <v>1225</v>
          </cell>
          <cell r="X16">
            <v>3397.5</v>
          </cell>
          <cell r="Z16">
            <v>3054.41</v>
          </cell>
          <cell r="AD16">
            <v>13241.18</v>
          </cell>
          <cell r="AE16">
            <v>1100.97</v>
          </cell>
          <cell r="AF16">
            <v>101122.47</v>
          </cell>
          <cell r="AG16">
            <v>583939.56999999995</v>
          </cell>
          <cell r="AH16">
            <v>1030.67</v>
          </cell>
          <cell r="AI16">
            <v>14529.720000000001</v>
          </cell>
          <cell r="AJ16">
            <v>1321.26</v>
          </cell>
          <cell r="AL16">
            <v>18619.93</v>
          </cell>
          <cell r="AM16">
            <v>37166.339999999997</v>
          </cell>
          <cell r="AR16">
            <v>69326.38</v>
          </cell>
          <cell r="AT16">
            <v>27701.089999999997</v>
          </cell>
          <cell r="AV16">
            <v>1000</v>
          </cell>
          <cell r="AW16">
            <v>11091.09</v>
          </cell>
          <cell r="BC16">
            <v>650</v>
          </cell>
          <cell r="BD16">
            <v>17604.96</v>
          </cell>
          <cell r="BE16">
            <v>45.15</v>
          </cell>
          <cell r="BH16">
            <v>891.06000000000006</v>
          </cell>
          <cell r="BJ16">
            <v>1740.04</v>
          </cell>
          <cell r="BK16">
            <v>1690</v>
          </cell>
          <cell r="BO16">
            <v>50</v>
          </cell>
          <cell r="BP16">
            <v>65959.429999999993</v>
          </cell>
          <cell r="BQ16">
            <v>72.75</v>
          </cell>
          <cell r="BR16">
            <v>1524.45</v>
          </cell>
          <cell r="BT16">
            <v>19021.89</v>
          </cell>
          <cell r="BX16">
            <v>385000</v>
          </cell>
          <cell r="BY16">
            <v>541646.79</v>
          </cell>
          <cell r="CF16">
            <v>20646.060000000001</v>
          </cell>
          <cell r="CG16">
            <v>7419.3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8"/>
      <sheetName val="PERSONNEL"/>
      <sheetName val="TRAINING"/>
      <sheetName val="BUDGET -(+) EXPLANATIONS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udget Summary"/>
      <sheetName val="2009 Appropriations"/>
      <sheetName val="GF Revenue &amp; Other Sources"/>
      <sheetName val="GENERAL FUND REVENUE"/>
      <sheetName val="GENERAL FUND SUMMARY"/>
      <sheetName val="51100"/>
      <sheetName val="51210"/>
      <sheetName val="51212"/>
      <sheetName val="51220"/>
      <sheetName val="51260"/>
      <sheetName val="51300"/>
      <sheetName val="51600"/>
      <sheetName val="51601"/>
      <sheetName val="51910"/>
      <sheetName val="51920"/>
      <sheetName val="51940"/>
      <sheetName val="51945"/>
      <sheetName val="52100 &amp;52200"/>
      <sheetName val="52200"/>
      <sheetName val="52900"/>
      <sheetName val="52950"/>
      <sheetName val="55100"/>
      <sheetName val="55200"/>
      <sheetName val="55450"/>
      <sheetName val="56100"/>
      <sheetName val="56200"/>
      <sheetName val="56300"/>
      <sheetName val="57000"/>
      <sheetName val="57100"/>
      <sheetName val="58100"/>
      <sheetName val="58201"/>
      <sheetName val="59200"/>
      <sheetName val="GEN - CAPITAL PROJ"/>
      <sheetName val="COMBO SHERIFF-JAIL BUDGET"/>
      <sheetName val="111 Revenue-Other Sources"/>
      <sheetName val="111-53700"/>
      <sheetName val="111-Summary"/>
      <sheetName val="111-CAPITAL PROJECTS"/>
      <sheetName val="050-Debt Reduction"/>
      <sheetName val="112 Rev &amp; Exp Other Source-Uses"/>
      <sheetName val="112-Exp and other uses"/>
      <sheetName val="113-Rev and other sources"/>
      <sheetName val="113-Exp and other uses"/>
      <sheetName val="116-Revenue &amp; Exp"/>
      <sheetName val="117-Rev-Other Sources &amp; Expense"/>
      <sheetName val="118-Revenue &amp; Expenses"/>
      <sheetName val="119-Revenue &amp; Expenses"/>
      <sheetName val="120-Rev and other sources"/>
      <sheetName val="120 Exp and other uses"/>
      <sheetName val="130-Revenue"/>
      <sheetName val="130-Exp"/>
      <sheetName val="136-Rev"/>
      <sheetName val="136-Exp"/>
      <sheetName val="152 Civil Defense"/>
      <sheetName val="511 - SOLID WASTE"/>
      <sheetName val="133 &amp; 13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0">
          <cell r="G20">
            <v>1352394</v>
          </cell>
        </row>
      </sheetData>
      <sheetData sheetId="36">
        <row r="77">
          <cell r="E77">
            <v>2182853.1099999994</v>
          </cell>
        </row>
      </sheetData>
      <sheetData sheetId="37">
        <row r="10">
          <cell r="F10">
            <v>296446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2-2013 BUDGET SUMMARY"/>
      <sheetName val="2013 PROPOSED APPROPRIATIONS"/>
      <sheetName val="GENERAL FUND SUMMARY"/>
      <sheetName val="GENERAL FUND REVENUE"/>
      <sheetName val="51100"/>
      <sheetName val="51210"/>
      <sheetName val="51212"/>
      <sheetName val="51220"/>
      <sheetName val="51260"/>
      <sheetName val="51300"/>
      <sheetName val="51600"/>
      <sheetName val="51601"/>
      <sheetName val="51910"/>
      <sheetName val="51920"/>
      <sheetName val="51940"/>
      <sheetName val="51945"/>
      <sheetName val="52100 &amp;52200"/>
      <sheetName val="52300"/>
      <sheetName val="52900"/>
      <sheetName val="52950"/>
      <sheetName val="55100"/>
      <sheetName val="55200"/>
      <sheetName val="55450"/>
      <sheetName val="56100"/>
      <sheetName val="56200"/>
      <sheetName val="56300"/>
      <sheetName val="57000"/>
      <sheetName val="57100"/>
      <sheetName val="58100"/>
      <sheetName val="58201"/>
      <sheetName val="59200"/>
      <sheetName val="111 Revenue-Other Sources"/>
      <sheetName val="111-53700"/>
      <sheetName val="111-Summary"/>
      <sheetName val="050-Debt Reduction"/>
      <sheetName val="112 Rev &amp; Exp Other Source-Uses"/>
      <sheetName val="113-Rev and other sources"/>
      <sheetName val="116-Revenue &amp; Exp"/>
      <sheetName val="117-Rev-Other Sources &amp; Expense"/>
      <sheetName val="118-Revenue &amp; Expenses"/>
      <sheetName val="119-Revenues &amp; Expenses"/>
      <sheetName val="152 Civil Defense"/>
      <sheetName val="511 - SOLID WASTE"/>
      <sheetName val="135 STORM SHELTER"/>
      <sheetName val="Sheet2"/>
    </sheetNames>
    <sheetDataSet>
      <sheetData sheetId="0"/>
      <sheetData sheetId="1">
        <row r="8">
          <cell r="F8">
            <v>4201427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0">
          <cell r="Q20">
            <v>-915907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ENERAL FUND SUMMARY"/>
      <sheetName val="GENERAL FUND REVENUE"/>
      <sheetName val="51100"/>
      <sheetName val="51101 COURTHSE EXP"/>
      <sheetName val="51102 CRT HOUSE ANNEX II"/>
      <sheetName val="51210"/>
      <sheetName val="51212"/>
      <sheetName val="51220"/>
      <sheetName val="51260"/>
      <sheetName val="51300"/>
      <sheetName val="51600"/>
      <sheetName val="51910"/>
      <sheetName val="51920"/>
      <sheetName val="52100"/>
      <sheetName val="52300"/>
      <sheetName val="52900"/>
      <sheetName val="52950"/>
      <sheetName val="55100"/>
      <sheetName val="55200"/>
      <sheetName val="55450"/>
      <sheetName val="56300"/>
      <sheetName val="57000"/>
      <sheetName val="57100"/>
      <sheetName val="58100"/>
      <sheetName val="58201"/>
      <sheetName val="59200"/>
      <sheetName val="111 Revenue-Other Sources"/>
      <sheetName val="111-53700"/>
      <sheetName val="111-Summary"/>
      <sheetName val="050-Debt Reduction"/>
      <sheetName val="112 Rev &amp; Exp Other Source-Uses"/>
      <sheetName val="113-Rev and other sources"/>
      <sheetName val="116-Revenue &amp; Exp"/>
      <sheetName val="117-Rev-Other Sources &amp; Expense"/>
      <sheetName val="118-Revenue &amp; Expenses"/>
      <sheetName val="119-Revenues &amp; Expenses"/>
      <sheetName val="152 Civil Defense"/>
      <sheetName val="511-SOLID WASTE "/>
      <sheetName val="135 STORM SHELTER"/>
      <sheetName val="MOTOR VEHICLE TRAINING"/>
      <sheetName val="MANUFACTURED HOMES"/>
      <sheetName val="SHERIFF CONDEMNATION"/>
      <sheetName val="PC DIALYSIS RENTAL"/>
      <sheetName val="2007 PBA WARRANT (JAIL LEASE)"/>
      <sheetName val="2007 GEN OBLIG WRNT"/>
      <sheetName val="2010-A GEN OBLIG WRNT (HOTEL)"/>
      <sheetName val="2010-B GEN OBLIG WRNT (RENOVAT)"/>
      <sheetName val="2013-A GEN OBLIG WRNT"/>
      <sheetName val="2013-B GEN OBLIG WRNT"/>
      <sheetName val="DEBT SERVICE"/>
    </sheetNames>
    <sheetDataSet>
      <sheetData sheetId="0">
        <row r="54">
          <cell r="L54">
            <v>134990.83000000002</v>
          </cell>
        </row>
        <row r="97">
          <cell r="L97">
            <v>289410.17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9"/>
      <sheetName val="NOV 2019"/>
      <sheetName val="DEC 2019"/>
      <sheetName val="JAN 2020"/>
      <sheetName val="FEB 2020"/>
      <sheetName val="MAR 2020"/>
      <sheetName val="APRIL 2020"/>
      <sheetName val="MAY 2020"/>
      <sheetName val="JUNE 2020"/>
      <sheetName val="JULY 2020"/>
      <sheetName val="AUGUST 2020"/>
      <sheetName val="SEPTEMB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K48">
            <v>9444.57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heet2"/>
      <sheetName val="Sheet3"/>
    </sheetNames>
    <sheetDataSet>
      <sheetData sheetId="0">
        <row r="16">
          <cell r="X16">
            <v>18.98</v>
          </cell>
          <cell r="Y16">
            <v>228860.15</v>
          </cell>
        </row>
        <row r="32">
          <cell r="D32">
            <v>240</v>
          </cell>
          <cell r="E32">
            <v>23602.57</v>
          </cell>
          <cell r="G32">
            <v>3120</v>
          </cell>
          <cell r="V32">
            <v>84710</v>
          </cell>
          <cell r="X32">
            <v>4.1599999999999993</v>
          </cell>
        </row>
        <row r="49">
          <cell r="AC49">
            <v>200.35000000000002</v>
          </cell>
        </row>
        <row r="65">
          <cell r="AC65">
            <v>948.97000000000014</v>
          </cell>
        </row>
        <row r="81">
          <cell r="D81">
            <v>5536.09</v>
          </cell>
          <cell r="I81">
            <v>22795.479999999996</v>
          </cell>
          <cell r="X81">
            <v>8.35</v>
          </cell>
        </row>
        <row r="97">
          <cell r="C97">
            <v>291420.24999999994</v>
          </cell>
          <cell r="M97">
            <v>10358.040000000001</v>
          </cell>
          <cell r="P97">
            <v>4477.6097560975604</v>
          </cell>
          <cell r="X97">
            <v>146.22999999999999</v>
          </cell>
        </row>
        <row r="113">
          <cell r="AC113">
            <v>337380.38</v>
          </cell>
        </row>
        <row r="147">
          <cell r="AC147">
            <v>128900</v>
          </cell>
        </row>
        <row r="180">
          <cell r="N180">
            <v>12798</v>
          </cell>
          <cell r="P180">
            <v>37085.78</v>
          </cell>
          <cell r="R180">
            <v>268099.44</v>
          </cell>
          <cell r="X180">
            <v>30.14</v>
          </cell>
          <cell r="AA180">
            <v>178.2</v>
          </cell>
        </row>
        <row r="197">
          <cell r="H197">
            <v>85791.090000000011</v>
          </cell>
          <cell r="K197">
            <v>132327.07</v>
          </cell>
        </row>
        <row r="214">
          <cell r="AC214">
            <v>195237.65</v>
          </cell>
        </row>
        <row r="231">
          <cell r="J231">
            <v>430384.24</v>
          </cell>
          <cell r="X231">
            <v>8.18</v>
          </cell>
        </row>
        <row r="265">
          <cell r="AC265">
            <v>884.21999999999991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3">
          <cell r="CK33">
            <v>0</v>
          </cell>
        </row>
        <row r="47">
          <cell r="CK47">
            <v>0</v>
          </cell>
        </row>
      </sheetData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9"/>
      <sheetName val="NOVEMBER 2019"/>
      <sheetName val="DECEMBER 2019"/>
      <sheetName val="JANUARY 2020"/>
      <sheetName val="FEBRUARY 2020"/>
      <sheetName val="MARCH 2020"/>
      <sheetName val="APRIL 2020."/>
      <sheetName val="MAY 2020"/>
      <sheetName val="JUNE 2020"/>
      <sheetName val="JULY 2020"/>
      <sheetName val="AUGUST 2020"/>
      <sheetName val="SEPTEMB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L46">
            <v>10564.56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2">
          <cell r="D32">
            <v>965</v>
          </cell>
        </row>
        <row r="97">
          <cell r="C97">
            <v>271076.08000000007</v>
          </cell>
          <cell r="L97">
            <v>10128.44</v>
          </cell>
          <cell r="W97">
            <v>40.470000000000006</v>
          </cell>
        </row>
        <row r="180">
          <cell r="M180">
            <v>4798</v>
          </cell>
          <cell r="Q180">
            <v>124163.26</v>
          </cell>
          <cell r="W180">
            <v>111.414</v>
          </cell>
        </row>
        <row r="214">
          <cell r="K214">
            <v>168771.51</v>
          </cell>
          <cell r="W214">
            <v>5.0600000000000005</v>
          </cell>
        </row>
        <row r="231">
          <cell r="AB231">
            <v>369738.37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9"/>
      <sheetName val="NOV 2019"/>
      <sheetName val="DEC 2019"/>
      <sheetName val="JAN 2020"/>
      <sheetName val="FEB 2020"/>
      <sheetName val="MAR 2020"/>
      <sheetName val="APRIL 2020"/>
      <sheetName val="MAY 2020"/>
      <sheetName val="JUNE 2020"/>
      <sheetName val="JULY 2020"/>
      <sheetName val="AUGUST 2020"/>
      <sheetName val="SEPTEMB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8">
          <cell r="K48">
            <v>58657.38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 YTD"/>
      <sheetName val="AUG 17 YTD"/>
      <sheetName val="YTD TRANSFERS"/>
    </sheetNames>
    <sheetDataSet>
      <sheetData sheetId="0"/>
      <sheetData sheetId="1">
        <row r="62">
          <cell r="J62">
            <v>453719.32000000012</v>
          </cell>
        </row>
        <row r="63">
          <cell r="D63">
            <v>205710.06</v>
          </cell>
          <cell r="E63">
            <v>112167.20000000001</v>
          </cell>
        </row>
      </sheetData>
      <sheetData sheetId="2">
        <row r="55">
          <cell r="C55">
            <v>162913.60000000001</v>
          </cell>
          <cell r="E55">
            <v>186445.22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L16">
            <v>207619.34</v>
          </cell>
        </row>
        <row r="64">
          <cell r="V64">
            <v>705</v>
          </cell>
        </row>
        <row r="196">
          <cell r="G196">
            <v>95537.430000000022</v>
          </cell>
          <cell r="J196">
            <v>120614.31000000001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ENERAL FUND SUMMARY"/>
      <sheetName val="GENERAL FUND REVENUE"/>
      <sheetName val="51100"/>
      <sheetName val="51101 COURTHSE EXP"/>
      <sheetName val="51102 CRT HOUSE ANNEX II"/>
      <sheetName val="51210"/>
      <sheetName val="51212"/>
      <sheetName val="51220"/>
      <sheetName val="51260"/>
      <sheetName val="51300"/>
      <sheetName val="51600"/>
      <sheetName val="51910"/>
      <sheetName val="51920"/>
      <sheetName val="52100"/>
      <sheetName val="52300"/>
      <sheetName val="52900"/>
      <sheetName val="52950"/>
      <sheetName val="55100"/>
      <sheetName val="55200"/>
      <sheetName val="55450"/>
      <sheetName val="56300"/>
      <sheetName val="57000"/>
      <sheetName val="57100"/>
      <sheetName val="58100"/>
      <sheetName val="58201"/>
      <sheetName val="59200"/>
      <sheetName val="111 Revenue-Other Sources"/>
      <sheetName val="111-53700"/>
      <sheetName val="111-Summary"/>
      <sheetName val="050-Debt Reduction"/>
      <sheetName val="112 Rev &amp; Exp Other Source-Uses"/>
      <sheetName val="113-Rev and other sources"/>
      <sheetName val="116-Revenue &amp; Exp"/>
      <sheetName val="117-Rev-Other Sources &amp; Expense"/>
      <sheetName val="118-Revenue &amp; Expenses"/>
      <sheetName val="119-Revenues &amp; Expenses"/>
      <sheetName val="152 Civil Defense"/>
      <sheetName val="511-SOLID WASTE "/>
      <sheetName val="135 STORM SHELTER"/>
      <sheetName val="MOTOR VEHICLE TRAINING"/>
      <sheetName val="MANUFACTURED HOMES"/>
      <sheetName val="SHERIFF CONDEMNATION"/>
      <sheetName val="PC DIALYSIS RENTAL"/>
      <sheetName val="2007 PBA WARRANT (JAIL LEASE)"/>
      <sheetName val="2007 GEN OBLIG WRNT"/>
      <sheetName val="2010-A GEN OBLIG WRNT (HOTEL)"/>
      <sheetName val="2010-B GEN OBLIG WRNT (RENOVAT)"/>
      <sheetName val="2013-A GEN OBLIG WRNT"/>
      <sheetName val="2013-B GEN OBLIG WRNT"/>
      <sheetName val="DEBT SERVICE"/>
    </sheetNames>
    <sheetDataSet>
      <sheetData sheetId="0">
        <row r="16">
          <cell r="U16">
            <v>10.52</v>
          </cell>
        </row>
        <row r="196">
          <cell r="U196">
            <v>19.02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1">
          <cell r="B161">
            <v>49319.555000000008</v>
          </cell>
          <cell r="C161">
            <v>2349.0859999999998</v>
          </cell>
          <cell r="D161">
            <v>511.54700000000003</v>
          </cell>
          <cell r="E161">
            <v>54.07</v>
          </cell>
          <cell r="F161">
            <v>2988.857</v>
          </cell>
          <cell r="G161">
            <v>2962.98</v>
          </cell>
          <cell r="I161">
            <v>68434.83</v>
          </cell>
          <cell r="J161">
            <v>159.9</v>
          </cell>
          <cell r="N161">
            <v>7495</v>
          </cell>
          <cell r="O161">
            <v>21.89</v>
          </cell>
          <cell r="P161">
            <v>387.78999999999996</v>
          </cell>
          <cell r="R161">
            <v>3233.14</v>
          </cell>
          <cell r="S161">
            <v>1761.4700000000003</v>
          </cell>
          <cell r="T161">
            <v>4450</v>
          </cell>
          <cell r="U161">
            <v>2754.15</v>
          </cell>
          <cell r="V161">
            <v>53.55</v>
          </cell>
          <cell r="W161">
            <v>2110.9199999999996</v>
          </cell>
          <cell r="AB161">
            <v>1902.4899999999998</v>
          </cell>
          <cell r="AC161">
            <v>925</v>
          </cell>
          <cell r="AD161">
            <v>17.5</v>
          </cell>
          <cell r="AE161">
            <v>3225.63</v>
          </cell>
          <cell r="AF161">
            <v>3562.46</v>
          </cell>
          <cell r="AG161">
            <v>1753</v>
          </cell>
          <cell r="AH161">
            <v>17125</v>
          </cell>
          <cell r="AI161">
            <v>79525.45</v>
          </cell>
        </row>
        <row r="178">
          <cell r="AJ178">
            <v>1271.08</v>
          </cell>
        </row>
        <row r="275">
          <cell r="X275">
            <v>30</v>
          </cell>
        </row>
      </sheetData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EC 2019"/>
      <sheetName val="JAN - MAR 2020"/>
      <sheetName val="APR - JUNE 2020"/>
      <sheetName val="JULY -SEPT 2020"/>
    </sheetNames>
    <sheetDataSet>
      <sheetData sheetId="0"/>
      <sheetData sheetId="1"/>
      <sheetData sheetId="2">
        <row r="15">
          <cell r="M15">
            <v>186426.49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D19">
            <v>72711.390000000014</v>
          </cell>
        </row>
        <row r="34">
          <cell r="CP34">
            <v>0</v>
          </cell>
        </row>
        <row r="48">
          <cell r="CP48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AZ17">
            <v>1788.2299999999998</v>
          </cell>
        </row>
        <row r="32">
          <cell r="CX32">
            <v>0</v>
          </cell>
          <cell r="DD32">
            <v>27223.319999999996</v>
          </cell>
        </row>
        <row r="46">
          <cell r="DD46">
            <v>0</v>
          </cell>
        </row>
        <row r="281">
          <cell r="BZ281">
            <v>12500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REVENUE"/>
      <sheetName val="51100-COMMISSION EXP"/>
      <sheetName val="51300-PROBATE"/>
      <sheetName val="REVENUE OFFICER 51600"/>
      <sheetName val="51210,51601,52900"/>
      <sheetName val="51220,51212,55100,51260,57000"/>
      <sheetName val="51910, 51920"/>
      <sheetName val="51940,51945,55450"/>
      <sheetName val="SHERIFF-52100"/>
      <sheetName val="JAIL-52200"/>
      <sheetName val="COURTHOUSE SECURITY-52950"/>
      <sheetName val="56200,56100,55200,57100,58100"/>
      <sheetName val="56300,58200,59200"/>
      <sheetName val="GEN FUND SUMMARY"/>
      <sheetName val="GASOLINE III REVENUES"/>
      <sheetName val="GAS III EXPENSES -53700"/>
      <sheetName val="GASOLINE III SUMMARY"/>
      <sheetName val="FUND 112, 113,152"/>
      <sheetName val="FUND-117,119,118"/>
      <sheetName val="FUND 116,511"/>
      <sheetName val="FUND 050,133,135"/>
      <sheetName val="CAP PROJECT-GEN SUMMARY"/>
      <sheetName val="CAP PROJECT-GASOLINE III"/>
      <sheetName val="2007-2008 APPROPRI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9">
          <cell r="D29">
            <v>2328</v>
          </cell>
        </row>
      </sheetData>
      <sheetData sheetId="8" refreshError="1"/>
      <sheetData sheetId="9" refreshError="1"/>
      <sheetData sheetId="10" refreshError="1">
        <row r="16">
          <cell r="D16">
            <v>24607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D13">
            <v>111100</v>
          </cell>
        </row>
        <row r="25">
          <cell r="D25">
            <v>171510</v>
          </cell>
        </row>
      </sheetData>
      <sheetData sheetId="17" refreshError="1"/>
      <sheetData sheetId="18" refreshError="1"/>
      <sheetData sheetId="19" refreshError="1">
        <row r="12">
          <cell r="D12">
            <v>525441</v>
          </cell>
        </row>
        <row r="13">
          <cell r="D13">
            <v>134075</v>
          </cell>
        </row>
        <row r="17">
          <cell r="D17">
            <v>326465</v>
          </cell>
        </row>
        <row r="18">
          <cell r="D18">
            <v>333051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7">
          <cell r="D17">
            <v>0</v>
          </cell>
          <cell r="E17">
            <v>159284.902</v>
          </cell>
          <cell r="F17">
            <v>1782.4300000000003</v>
          </cell>
          <cell r="H17">
            <v>12717.782000000001</v>
          </cell>
          <cell r="I17">
            <v>29638.84</v>
          </cell>
          <cell r="J17">
            <v>557.09400000000005</v>
          </cell>
          <cell r="K17">
            <v>22381.531999999996</v>
          </cell>
          <cell r="L17">
            <v>34660.04</v>
          </cell>
          <cell r="M17">
            <v>47.7</v>
          </cell>
          <cell r="R17">
            <v>51733.67</v>
          </cell>
          <cell r="T17">
            <v>91</v>
          </cell>
          <cell r="X17">
            <v>42559.4</v>
          </cell>
          <cell r="AC17">
            <v>1901.45</v>
          </cell>
          <cell r="AD17">
            <v>12467.5</v>
          </cell>
          <cell r="AM17">
            <v>0</v>
          </cell>
          <cell r="AS17">
            <v>5830.41</v>
          </cell>
          <cell r="AZ17">
            <v>1115.69</v>
          </cell>
          <cell r="BA17">
            <v>2445.58</v>
          </cell>
          <cell r="BM17">
            <v>4022.29</v>
          </cell>
          <cell r="BN17">
            <v>18948.530000000002</v>
          </cell>
          <cell r="BO17">
            <v>397.08</v>
          </cell>
          <cell r="BP17">
            <v>2782.16</v>
          </cell>
          <cell r="BT17">
            <v>4746.42</v>
          </cell>
          <cell r="BU17">
            <v>0</v>
          </cell>
          <cell r="BV17">
            <v>10929.380000000001</v>
          </cell>
          <cell r="BW17">
            <v>5099</v>
          </cell>
          <cell r="BX17">
            <v>312.94</v>
          </cell>
          <cell r="BZ17">
            <v>32475.5</v>
          </cell>
          <cell r="CA17">
            <v>840</v>
          </cell>
          <cell r="CB17">
            <v>54317.919999999998</v>
          </cell>
          <cell r="CJ17">
            <v>2102.81</v>
          </cell>
          <cell r="CM17">
            <v>6326.68</v>
          </cell>
          <cell r="DA17">
            <v>184338.86999999997</v>
          </cell>
          <cell r="DB17">
            <v>169361.54000000007</v>
          </cell>
          <cell r="DC17">
            <v>4073.71</v>
          </cell>
          <cell r="DD17">
            <v>8860.6500000000015</v>
          </cell>
        </row>
        <row r="32">
          <cell r="Q32">
            <v>1080</v>
          </cell>
          <cell r="AM32">
            <v>2636.41</v>
          </cell>
          <cell r="AN32">
            <v>450</v>
          </cell>
          <cell r="AR32">
            <v>11.64</v>
          </cell>
          <cell r="AT32">
            <v>14.99</v>
          </cell>
          <cell r="AV32">
            <v>97.09</v>
          </cell>
          <cell r="AX32">
            <v>3491.1800000000003</v>
          </cell>
          <cell r="AZ32">
            <v>2175.63</v>
          </cell>
          <cell r="BA32">
            <v>90.67</v>
          </cell>
          <cell r="BD32">
            <v>16194.740000000002</v>
          </cell>
          <cell r="BK32">
            <v>43273.849999999991</v>
          </cell>
          <cell r="BM32">
            <v>870.66000000000008</v>
          </cell>
          <cell r="BN32">
            <v>6869.04</v>
          </cell>
          <cell r="CM32">
            <v>649.95000000000005</v>
          </cell>
        </row>
        <row r="46">
          <cell r="Q46">
            <v>1080</v>
          </cell>
          <cell r="AZ46">
            <v>55.24</v>
          </cell>
          <cell r="BD46">
            <v>1095</v>
          </cell>
          <cell r="BK46">
            <v>13496.689999999999</v>
          </cell>
          <cell r="BM46">
            <v>246</v>
          </cell>
          <cell r="BN46">
            <v>15214.209999999997</v>
          </cell>
        </row>
        <row r="60">
          <cell r="E60">
            <v>2268.864</v>
          </cell>
          <cell r="K60">
            <v>173.57399999999998</v>
          </cell>
        </row>
        <row r="74">
          <cell r="BN74">
            <v>633.04999999999995</v>
          </cell>
        </row>
        <row r="88">
          <cell r="BN88">
            <v>630.35</v>
          </cell>
          <cell r="BO88">
            <v>53.7</v>
          </cell>
        </row>
        <row r="103">
          <cell r="BN103">
            <v>367.95000000000005</v>
          </cell>
        </row>
        <row r="118">
          <cell r="D118">
            <v>65506.477999999996</v>
          </cell>
          <cell r="E118">
            <v>44184.314000000006</v>
          </cell>
          <cell r="F118">
            <v>367.37</v>
          </cell>
          <cell r="H118">
            <v>2663.1759999999999</v>
          </cell>
          <cell r="I118">
            <v>17050.239999999998</v>
          </cell>
          <cell r="J118">
            <v>113.88000000000001</v>
          </cell>
          <cell r="K118">
            <v>7863.4119999999994</v>
          </cell>
          <cell r="X118">
            <v>17437.810000000001</v>
          </cell>
          <cell r="AD118">
            <v>1650</v>
          </cell>
          <cell r="AM118">
            <v>0</v>
          </cell>
          <cell r="AS118">
            <v>1454.29</v>
          </cell>
          <cell r="BA118">
            <v>1347.8600000000001</v>
          </cell>
          <cell r="BN118">
            <v>179.07</v>
          </cell>
          <cell r="BO118">
            <v>280.47000000000003</v>
          </cell>
          <cell r="BT118">
            <v>540.43000000000006</v>
          </cell>
          <cell r="BU118">
            <v>442.88</v>
          </cell>
          <cell r="BV118">
            <v>2918.6400000000003</v>
          </cell>
          <cell r="BW118">
            <v>1650</v>
          </cell>
          <cell r="BX118">
            <v>30</v>
          </cell>
          <cell r="CA118">
            <v>200</v>
          </cell>
          <cell r="CJ118">
            <v>227.49</v>
          </cell>
          <cell r="CM118">
            <v>119.95</v>
          </cell>
        </row>
        <row r="133">
          <cell r="D133">
            <v>65074.72600000001</v>
          </cell>
          <cell r="E133">
            <v>34739.017999999996</v>
          </cell>
          <cell r="G133">
            <v>22500</v>
          </cell>
          <cell r="H133">
            <v>6012.5140000000001</v>
          </cell>
          <cell r="I133">
            <v>13053.732</v>
          </cell>
          <cell r="J133">
            <v>131.75200000000001</v>
          </cell>
          <cell r="K133">
            <v>7144.0880000000006</v>
          </cell>
          <cell r="AD133">
            <v>750</v>
          </cell>
          <cell r="AS133">
            <v>570.67999999999995</v>
          </cell>
          <cell r="BA133">
            <v>2232.58</v>
          </cell>
          <cell r="BN133">
            <v>837.63000000000011</v>
          </cell>
          <cell r="BO133">
            <v>5050.08</v>
          </cell>
          <cell r="BP133">
            <v>4724.4799999999996</v>
          </cell>
          <cell r="BW133">
            <v>225</v>
          </cell>
          <cell r="CA133">
            <v>100.68</v>
          </cell>
        </row>
        <row r="163">
          <cell r="AH163">
            <v>23650</v>
          </cell>
          <cell r="AS163">
            <v>28727.91</v>
          </cell>
          <cell r="AZ163">
            <v>651.01</v>
          </cell>
          <cell r="BA163">
            <v>400</v>
          </cell>
          <cell r="BD163">
            <v>772.89</v>
          </cell>
          <cell r="BK163">
            <v>1207.1799999999998</v>
          </cell>
          <cell r="BO163">
            <v>8.1300000000000008</v>
          </cell>
          <cell r="BP163">
            <v>2765.0299999999997</v>
          </cell>
          <cell r="BT163">
            <v>268.38</v>
          </cell>
          <cell r="CH163">
            <v>1250</v>
          </cell>
          <cell r="CK163">
            <v>5625</v>
          </cell>
        </row>
        <row r="178">
          <cell r="E178">
            <v>40098.800000000003</v>
          </cell>
          <cell r="K178">
            <v>3067.5600000000004</v>
          </cell>
          <cell r="AD178">
            <v>50</v>
          </cell>
          <cell r="AS178">
            <v>9.9499999999999993</v>
          </cell>
          <cell r="BA178">
            <v>58</v>
          </cell>
          <cell r="BN178">
            <v>197</v>
          </cell>
          <cell r="BO178">
            <v>507.03</v>
          </cell>
          <cell r="BT178">
            <v>374.99</v>
          </cell>
          <cell r="BV178">
            <v>230.5</v>
          </cell>
        </row>
        <row r="208">
          <cell r="C208">
            <v>4583.37</v>
          </cell>
          <cell r="D208">
            <v>57786.713999999993</v>
          </cell>
          <cell r="E208">
            <v>335278.17200000002</v>
          </cell>
          <cell r="F208">
            <v>4242.0140000000001</v>
          </cell>
          <cell r="H208">
            <v>20536.198</v>
          </cell>
          <cell r="I208">
            <v>97555.5</v>
          </cell>
          <cell r="J208">
            <v>596.11800000000005</v>
          </cell>
          <cell r="K208">
            <v>29340.052000000003</v>
          </cell>
          <cell r="Q208">
            <v>1080</v>
          </cell>
          <cell r="X208">
            <v>150</v>
          </cell>
          <cell r="AD208">
            <v>3782</v>
          </cell>
          <cell r="AI208">
            <v>440</v>
          </cell>
          <cell r="AM208">
            <v>5327</v>
          </cell>
          <cell r="AO208">
            <v>1777</v>
          </cell>
          <cell r="AP208">
            <v>957.03000000000009</v>
          </cell>
          <cell r="AS208">
            <v>2276.02</v>
          </cell>
          <cell r="AT208">
            <v>21471.180000000004</v>
          </cell>
          <cell r="AW208">
            <v>2958.24</v>
          </cell>
          <cell r="AX208">
            <v>5151.8500000000004</v>
          </cell>
          <cell r="AZ208">
            <v>1762.44</v>
          </cell>
          <cell r="BD208">
            <v>15201.63</v>
          </cell>
          <cell r="BG208">
            <v>3497.34</v>
          </cell>
          <cell r="BK208">
            <v>32210.690000000002</v>
          </cell>
          <cell r="BM208">
            <v>4465.2300000000005</v>
          </cell>
          <cell r="BN208">
            <v>20008.349999999999</v>
          </cell>
          <cell r="BO208">
            <v>898.7</v>
          </cell>
          <cell r="BT208">
            <v>631.79999999999995</v>
          </cell>
          <cell r="BV208">
            <v>298.47399999999999</v>
          </cell>
          <cell r="BW208">
            <v>1375</v>
          </cell>
          <cell r="BX208">
            <v>34.200000000000003</v>
          </cell>
          <cell r="CA208">
            <v>510</v>
          </cell>
          <cell r="CG208">
            <v>112</v>
          </cell>
          <cell r="CM208">
            <v>2548.64</v>
          </cell>
          <cell r="CW208">
            <v>7500</v>
          </cell>
          <cell r="DA208">
            <v>26843.97</v>
          </cell>
        </row>
        <row r="223">
          <cell r="CC223">
            <v>17000</v>
          </cell>
        </row>
        <row r="238">
          <cell r="AM238">
            <v>75000</v>
          </cell>
        </row>
        <row r="253">
          <cell r="E253">
            <v>15875.763999999997</v>
          </cell>
          <cell r="F253">
            <v>4256.0599999999995</v>
          </cell>
          <cell r="H253">
            <v>983.48400000000004</v>
          </cell>
          <cell r="I253">
            <v>8030.76</v>
          </cell>
          <cell r="J253">
            <v>34.309999999999995</v>
          </cell>
          <cell r="K253">
            <v>1357.2239999999999</v>
          </cell>
        </row>
        <row r="323">
          <cell r="E323">
            <v>2320.7719999999999</v>
          </cell>
          <cell r="H323">
            <v>145.75799999999998</v>
          </cell>
          <cell r="I323">
            <v>561.74</v>
          </cell>
          <cell r="J323">
            <v>2.044</v>
          </cell>
          <cell r="K323">
            <v>177.53399999999999</v>
          </cell>
        </row>
        <row r="338">
          <cell r="E338">
            <v>61336.692000000003</v>
          </cell>
          <cell r="H338">
            <v>3824.7539999999999</v>
          </cell>
          <cell r="I338">
            <v>12398.76</v>
          </cell>
          <cell r="J338">
            <v>51.099999999999994</v>
          </cell>
          <cell r="K338">
            <v>4692.2479999999996</v>
          </cell>
          <cell r="U338">
            <v>300</v>
          </cell>
          <cell r="AJ338">
            <v>1495</v>
          </cell>
          <cell r="BN338">
            <v>678.34</v>
          </cell>
        </row>
        <row r="356">
          <cell r="CC356">
            <v>1000</v>
          </cell>
        </row>
        <row r="358">
          <cell r="CC358">
            <v>1000</v>
          </cell>
        </row>
        <row r="360">
          <cell r="CC360">
            <v>2000</v>
          </cell>
        </row>
        <row r="363">
          <cell r="CC363">
            <v>1000</v>
          </cell>
        </row>
        <row r="367">
          <cell r="E367">
            <v>13292.5</v>
          </cell>
          <cell r="K367">
            <v>1015.9979999999999</v>
          </cell>
          <cell r="BK367">
            <v>62.5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 SCHEDULE DUE IN 1 YEAR"/>
      <sheetName val="2015-2016 DS &amp; Cap Lease Sched"/>
    </sheetNames>
    <sheetDataSet>
      <sheetData sheetId="0" refreshError="1">
        <row r="7">
          <cell r="J7">
            <v>296734.95999999996</v>
          </cell>
        </row>
        <row r="8">
          <cell r="J8">
            <v>55643.75</v>
          </cell>
        </row>
        <row r="10">
          <cell r="J10">
            <v>132334</v>
          </cell>
        </row>
        <row r="11">
          <cell r="J11">
            <v>40415.369999999995</v>
          </cell>
        </row>
        <row r="12">
          <cell r="J12">
            <v>56288.36</v>
          </cell>
        </row>
        <row r="13">
          <cell r="K13">
            <v>281000</v>
          </cell>
        </row>
        <row r="14">
          <cell r="K14">
            <v>0</v>
          </cell>
        </row>
        <row r="15">
          <cell r="K15">
            <v>862415.99999999988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ABLE SCHEDULE DUE IN 1 YEAR"/>
      <sheetName val="2015-2016 DS &amp; Cap Lease Sched"/>
    </sheetNames>
    <sheetDataSet>
      <sheetData sheetId="0">
        <row r="7">
          <cell r="K7">
            <v>296734.95999999996</v>
          </cell>
        </row>
        <row r="8">
          <cell r="K8">
            <v>55643.31</v>
          </cell>
        </row>
        <row r="9">
          <cell r="K9">
            <v>206850</v>
          </cell>
        </row>
        <row r="10">
          <cell r="K10">
            <v>132334</v>
          </cell>
        </row>
        <row r="11">
          <cell r="K11">
            <v>40415.369999999995</v>
          </cell>
        </row>
        <row r="12">
          <cell r="K12">
            <v>56288.36</v>
          </cell>
        </row>
        <row r="13">
          <cell r="K13">
            <v>50000</v>
          </cell>
        </row>
        <row r="14">
          <cell r="K14">
            <v>81386</v>
          </cell>
        </row>
        <row r="15">
          <cell r="K15">
            <v>919652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20"/>
  <sheetViews>
    <sheetView workbookViewId="0">
      <selection activeCell="B24" sqref="B24"/>
    </sheetView>
  </sheetViews>
  <sheetFormatPr defaultRowHeight="15" x14ac:dyDescent="0.25"/>
  <cols>
    <col min="2" max="2" width="32.7109375" customWidth="1"/>
  </cols>
  <sheetData>
    <row r="3" spans="1:2" ht="15.75" x14ac:dyDescent="0.3">
      <c r="A3" s="60" t="s">
        <v>148</v>
      </c>
      <c r="B3" s="29" t="s">
        <v>172</v>
      </c>
    </row>
    <row r="4" spans="1:2" ht="15.75" x14ac:dyDescent="0.3">
      <c r="A4" s="18" t="s">
        <v>146</v>
      </c>
      <c r="B4" s="9" t="s">
        <v>119</v>
      </c>
    </row>
    <row r="5" spans="1:2" ht="15.75" x14ac:dyDescent="0.3">
      <c r="A5" s="32" t="s">
        <v>168</v>
      </c>
      <c r="B5" s="23" t="s">
        <v>169</v>
      </c>
    </row>
    <row r="6" spans="1:2" ht="15.75" x14ac:dyDescent="0.3">
      <c r="A6" s="60" t="s">
        <v>166</v>
      </c>
      <c r="B6" s="23" t="s">
        <v>167</v>
      </c>
    </row>
    <row r="7" spans="1:2" ht="15.75" x14ac:dyDescent="0.3">
      <c r="A7" s="18" t="s">
        <v>144</v>
      </c>
      <c r="B7" s="9" t="s">
        <v>145</v>
      </c>
    </row>
    <row r="8" spans="1:2" ht="15.75" x14ac:dyDescent="0.3">
      <c r="A8" s="59" t="s">
        <v>123</v>
      </c>
      <c r="B8" s="25" t="s">
        <v>120</v>
      </c>
    </row>
    <row r="9" spans="1:2" ht="15.75" x14ac:dyDescent="0.3">
      <c r="A9" s="26" t="s">
        <v>141</v>
      </c>
      <c r="B9" s="24" t="s">
        <v>136</v>
      </c>
    </row>
    <row r="11" spans="1:2" ht="15.75" x14ac:dyDescent="0.3">
      <c r="B11" s="61" t="s">
        <v>215</v>
      </c>
    </row>
    <row r="12" spans="1:2" ht="15.75" x14ac:dyDescent="0.3">
      <c r="B12" s="61" t="s">
        <v>216</v>
      </c>
    </row>
    <row r="13" spans="1:2" ht="15.75" x14ac:dyDescent="0.3">
      <c r="B13" s="61" t="s">
        <v>217</v>
      </c>
    </row>
    <row r="14" spans="1:2" ht="15.75" x14ac:dyDescent="0.3">
      <c r="B14" s="61" t="s">
        <v>218</v>
      </c>
    </row>
    <row r="15" spans="1:2" ht="15.75" x14ac:dyDescent="0.3">
      <c r="B15" s="61" t="s">
        <v>219</v>
      </c>
    </row>
    <row r="16" spans="1:2" ht="15.75" x14ac:dyDescent="0.3">
      <c r="B16" s="61" t="s">
        <v>220</v>
      </c>
    </row>
    <row r="18" spans="2:2" ht="15.75" x14ac:dyDescent="0.3">
      <c r="B18" s="61" t="s">
        <v>221</v>
      </c>
    </row>
    <row r="19" spans="2:2" ht="15.75" x14ac:dyDescent="0.3">
      <c r="B19" s="61" t="s">
        <v>222</v>
      </c>
    </row>
    <row r="20" spans="2:2" ht="15.75" x14ac:dyDescent="0.3">
      <c r="B20" s="61" t="s">
        <v>223</v>
      </c>
    </row>
  </sheetData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19"/>
  <sheetViews>
    <sheetView workbookViewId="0">
      <selection activeCell="Q5" sqref="Q5"/>
    </sheetView>
  </sheetViews>
  <sheetFormatPr defaultRowHeight="15" x14ac:dyDescent="0.25"/>
  <cols>
    <col min="2" max="2" width="18.28515625" customWidth="1"/>
    <col min="3" max="3" width="48.85546875" customWidth="1"/>
    <col min="4" max="4" width="13.28515625" style="85" hidden="1" customWidth="1"/>
    <col min="5" max="5" width="16.7109375" hidden="1" customWidth="1"/>
    <col min="6" max="6" width="14" hidden="1" customWidth="1"/>
    <col min="7" max="7" width="18.7109375" hidden="1" customWidth="1"/>
    <col min="8" max="8" width="17.140625" hidden="1" customWidth="1"/>
    <col min="9" max="9" width="13.140625" hidden="1" customWidth="1"/>
    <col min="10" max="10" width="15.140625" style="144" hidden="1" customWidth="1"/>
    <col min="11" max="11" width="19.42578125" style="1024" hidden="1" customWidth="1"/>
    <col min="12" max="12" width="16.28515625" style="1024" hidden="1" customWidth="1"/>
    <col min="13" max="13" width="14.85546875" style="1024" hidden="1" customWidth="1"/>
    <col min="14" max="15" width="15.85546875" style="1024" hidden="1" customWidth="1"/>
    <col min="16" max="16" width="19.28515625" hidden="1" customWidth="1"/>
    <col min="17" max="17" width="18" customWidth="1"/>
  </cols>
  <sheetData>
    <row r="1" spans="2:17" ht="22.5" customHeight="1" x14ac:dyDescent="0.4">
      <c r="B1" s="19"/>
      <c r="C1" s="141" t="s">
        <v>401</v>
      </c>
      <c r="D1" s="122"/>
      <c r="E1" s="122"/>
      <c r="F1" s="122"/>
      <c r="G1" s="958">
        <f ca="1">TODAY()</f>
        <v>44259</v>
      </c>
      <c r="H1" s="122"/>
      <c r="I1" s="122"/>
      <c r="J1" s="122"/>
      <c r="K1" s="1142"/>
      <c r="L1" s="1142"/>
      <c r="M1" s="1142"/>
      <c r="N1" s="1142"/>
      <c r="O1" s="1142"/>
      <c r="P1" s="1143"/>
      <c r="Q1" s="1143"/>
    </row>
    <row r="2" spans="2:17" ht="30" customHeight="1" x14ac:dyDescent="0.4">
      <c r="B2" s="20"/>
      <c r="C2" s="1318" t="s">
        <v>1155</v>
      </c>
      <c r="D2" s="123"/>
      <c r="E2" s="123"/>
      <c r="F2" s="123"/>
      <c r="G2" s="959">
        <f ca="1">NOW()</f>
        <v>44259.508154745374</v>
      </c>
      <c r="H2" s="123"/>
      <c r="I2" s="123"/>
      <c r="J2" s="123"/>
      <c r="K2" s="1143"/>
      <c r="L2" s="1143"/>
      <c r="M2" s="1143"/>
      <c r="N2" s="1143"/>
      <c r="O2" s="1143"/>
      <c r="P2" s="1143"/>
      <c r="Q2" s="1143"/>
    </row>
    <row r="3" spans="2:17" ht="22.5" customHeight="1" thickBot="1" x14ac:dyDescent="0.45">
      <c r="B3" s="21"/>
      <c r="C3" s="282" t="s">
        <v>1107</v>
      </c>
      <c r="D3" s="123"/>
      <c r="E3" s="123"/>
      <c r="F3" s="123"/>
      <c r="G3" s="123"/>
      <c r="H3" s="123"/>
      <c r="I3" s="123"/>
      <c r="J3" s="123"/>
      <c r="K3" s="1143"/>
      <c r="L3" s="1143"/>
      <c r="M3" s="1143"/>
      <c r="N3" s="1143"/>
      <c r="O3" s="1143"/>
      <c r="P3" s="1143"/>
      <c r="Q3" s="1143"/>
    </row>
    <row r="4" spans="2:17" s="93" customFormat="1" ht="62.1" customHeight="1" thickBot="1" x14ac:dyDescent="0.4">
      <c r="B4" s="329" t="s">
        <v>631</v>
      </c>
      <c r="C4" s="329" t="s">
        <v>630</v>
      </c>
      <c r="D4" s="551" t="s">
        <v>836</v>
      </c>
      <c r="E4" s="819" t="s">
        <v>811</v>
      </c>
      <c r="F4" s="190" t="s">
        <v>797</v>
      </c>
      <c r="G4" s="612" t="s">
        <v>855</v>
      </c>
      <c r="H4" s="1070" t="s">
        <v>780</v>
      </c>
      <c r="I4" s="1079" t="s">
        <v>853</v>
      </c>
      <c r="J4" s="1074" t="s">
        <v>854</v>
      </c>
      <c r="K4" s="1440" t="s">
        <v>944</v>
      </c>
      <c r="L4" s="1428" t="s">
        <v>981</v>
      </c>
      <c r="M4" s="1441" t="s">
        <v>798</v>
      </c>
      <c r="N4" s="1441" t="s">
        <v>942</v>
      </c>
      <c r="O4" s="1441" t="s">
        <v>943</v>
      </c>
      <c r="P4" s="1588" t="s">
        <v>1014</v>
      </c>
      <c r="Q4" s="1588" t="s">
        <v>1109</v>
      </c>
    </row>
    <row r="5" spans="2:17" ht="16.5" thickBot="1" x14ac:dyDescent="0.35">
      <c r="B5" s="297">
        <v>153</v>
      </c>
      <c r="C5" s="631" t="s">
        <v>310</v>
      </c>
      <c r="D5" s="713"/>
      <c r="E5" s="190"/>
      <c r="F5" s="190"/>
      <c r="G5" s="190"/>
      <c r="H5" s="190"/>
      <c r="I5" s="963"/>
      <c r="J5" s="999"/>
      <c r="K5" s="1020"/>
      <c r="L5" s="1219"/>
      <c r="M5" s="1442"/>
      <c r="N5" s="1442"/>
      <c r="O5" s="1145"/>
    </row>
    <row r="6" spans="2:17" ht="16.5" thickBot="1" x14ac:dyDescent="0.35">
      <c r="B6" s="301">
        <v>207</v>
      </c>
      <c r="C6" s="299" t="s">
        <v>429</v>
      </c>
      <c r="D6" s="713"/>
      <c r="E6" s="190"/>
      <c r="F6" s="190"/>
      <c r="G6" s="190"/>
      <c r="H6" s="190"/>
      <c r="I6" s="430"/>
      <c r="J6" s="1000"/>
      <c r="K6" s="1021"/>
      <c r="L6" s="1220"/>
      <c r="M6" s="1443"/>
      <c r="N6" s="1443"/>
      <c r="O6" s="1146"/>
    </row>
    <row r="7" spans="2:17" ht="16.5" thickBot="1" x14ac:dyDescent="0.35">
      <c r="B7" s="301">
        <v>211</v>
      </c>
      <c r="C7" s="299" t="s">
        <v>409</v>
      </c>
      <c r="D7" s="713"/>
      <c r="E7" s="190"/>
      <c r="F7" s="190"/>
      <c r="G7" s="190"/>
      <c r="H7" s="190"/>
      <c r="I7" s="430"/>
      <c r="J7" s="1000"/>
      <c r="K7" s="1021"/>
      <c r="L7" s="1220"/>
      <c r="M7" s="1443"/>
      <c r="N7" s="1443"/>
      <c r="O7" s="1146"/>
    </row>
    <row r="8" spans="2:17" ht="16.5" thickBot="1" x14ac:dyDescent="0.35">
      <c r="B8" s="301">
        <v>216</v>
      </c>
      <c r="C8" s="302" t="s">
        <v>313</v>
      </c>
      <c r="D8" s="713"/>
      <c r="E8" s="190"/>
      <c r="F8" s="190"/>
      <c r="G8" s="190"/>
      <c r="H8" s="190"/>
      <c r="I8" s="430"/>
      <c r="J8" s="1000"/>
      <c r="K8" s="1021"/>
      <c r="L8" s="1220"/>
      <c r="M8" s="1443"/>
      <c r="N8" s="1443"/>
      <c r="O8" s="1146"/>
    </row>
    <row r="9" spans="2:17" ht="16.5" thickBot="1" x14ac:dyDescent="0.35">
      <c r="B9" s="301">
        <v>219</v>
      </c>
      <c r="C9" s="302" t="s">
        <v>515</v>
      </c>
      <c r="D9" s="713"/>
      <c r="E9" s="190"/>
      <c r="F9" s="190"/>
      <c r="G9" s="190"/>
      <c r="H9" s="190"/>
      <c r="I9" s="430"/>
      <c r="J9" s="1000"/>
      <c r="K9" s="1021"/>
      <c r="L9" s="1220"/>
      <c r="M9" s="1443"/>
      <c r="N9" s="1443"/>
      <c r="O9" s="1146"/>
    </row>
    <row r="10" spans="2:17" ht="16.5" thickBot="1" x14ac:dyDescent="0.35">
      <c r="B10" s="301">
        <v>231</v>
      </c>
      <c r="C10" s="632" t="s">
        <v>315</v>
      </c>
      <c r="D10" s="713"/>
      <c r="E10" s="190"/>
      <c r="F10" s="190"/>
      <c r="G10" s="190"/>
      <c r="H10" s="190"/>
      <c r="I10" s="430"/>
      <c r="J10" s="1000"/>
      <c r="K10" s="1021"/>
      <c r="L10" s="1220"/>
      <c r="M10" s="1443"/>
      <c r="N10" s="1443"/>
      <c r="O10" s="1146"/>
    </row>
    <row r="11" spans="2:17" ht="16.5" thickBot="1" x14ac:dyDescent="0.35">
      <c r="B11" s="301">
        <v>240</v>
      </c>
      <c r="C11" s="299" t="s">
        <v>316</v>
      </c>
      <c r="D11" s="713"/>
      <c r="E11" s="190"/>
      <c r="F11" s="190"/>
      <c r="G11" s="190"/>
      <c r="H11" s="190"/>
      <c r="I11" s="430"/>
      <c r="J11" s="1000"/>
      <c r="K11" s="1021"/>
      <c r="L11" s="1220"/>
      <c r="M11" s="1443"/>
      <c r="N11" s="1443"/>
      <c r="O11" s="1146"/>
    </row>
    <row r="12" spans="2:17" ht="16.5" thickBot="1" x14ac:dyDescent="0.35">
      <c r="B12" s="301">
        <v>251</v>
      </c>
      <c r="C12" s="299" t="s">
        <v>98</v>
      </c>
      <c r="D12" s="713">
        <v>373</v>
      </c>
      <c r="E12" s="713">
        <v>372.11</v>
      </c>
      <c r="F12" s="713">
        <f>D12-E12</f>
        <v>0.88999999999998636</v>
      </c>
      <c r="G12" s="713">
        <v>373</v>
      </c>
      <c r="H12" s="1007">
        <f>[7]Sheet1!$BN$74</f>
        <v>633.04999999999995</v>
      </c>
      <c r="I12" s="714">
        <f>G12-H12</f>
        <v>-260.04999999999995</v>
      </c>
      <c r="J12" s="1000">
        <f>H12/G12</f>
        <v>1.6971849865951742</v>
      </c>
      <c r="K12" s="1021">
        <f>G12</f>
        <v>373</v>
      </c>
      <c r="L12" s="1220">
        <v>701.05</v>
      </c>
      <c r="M12" s="1443">
        <f>K12-L12</f>
        <v>-328.04999999999995</v>
      </c>
      <c r="N12" s="1443">
        <v>600</v>
      </c>
      <c r="O12" s="1146">
        <f>N12</f>
        <v>600</v>
      </c>
      <c r="P12">
        <v>449.16</v>
      </c>
      <c r="Q12" s="1511">
        <v>500</v>
      </c>
    </row>
    <row r="13" spans="2:17" ht="16.5" thickBot="1" x14ac:dyDescent="0.35">
      <c r="B13" s="301">
        <v>271</v>
      </c>
      <c r="C13" s="299" t="s">
        <v>318</v>
      </c>
      <c r="D13" s="713"/>
      <c r="E13" s="190"/>
      <c r="F13" s="190"/>
      <c r="G13" s="190"/>
      <c r="H13" s="190"/>
      <c r="I13" s="430"/>
      <c r="J13" s="1000"/>
      <c r="K13" s="1021"/>
      <c r="L13" s="1220"/>
      <c r="M13" s="1443"/>
      <c r="N13" s="1443"/>
      <c r="O13" s="1146"/>
    </row>
    <row r="14" spans="2:17" ht="16.5" thickBot="1" x14ac:dyDescent="0.35">
      <c r="B14" s="304">
        <v>499</v>
      </c>
      <c r="C14" s="633" t="s">
        <v>514</v>
      </c>
      <c r="D14" s="713"/>
      <c r="E14" s="190"/>
      <c r="F14" s="190"/>
      <c r="G14" s="190"/>
      <c r="H14" s="190"/>
      <c r="I14" s="916"/>
      <c r="J14" s="1089"/>
      <c r="K14" s="1022"/>
      <c r="L14" s="1221"/>
      <c r="M14" s="1444"/>
      <c r="N14" s="1444"/>
      <c r="O14" s="1147"/>
    </row>
    <row r="15" spans="2:17" s="371" customFormat="1" ht="21.75" thickBot="1" x14ac:dyDescent="0.45">
      <c r="B15" s="369"/>
      <c r="C15" s="370" t="s">
        <v>400</v>
      </c>
      <c r="D15" s="832">
        <f>SUM(D5:D14)</f>
        <v>373</v>
      </c>
      <c r="E15" s="832">
        <f>SUM(E5:E14)</f>
        <v>372.11</v>
      </c>
      <c r="F15" s="832">
        <f>SUM(F5:F14)</f>
        <v>0.88999999999998636</v>
      </c>
      <c r="G15" s="832">
        <f>SUM(G5:G14)</f>
        <v>373</v>
      </c>
      <c r="H15" s="832">
        <f t="shared" ref="H15:Q15" si="0">SUM(H5:H14)</f>
        <v>633.04999999999995</v>
      </c>
      <c r="I15" s="1088">
        <f t="shared" si="0"/>
        <v>-260.04999999999995</v>
      </c>
      <c r="J15" s="1090">
        <f>H15/G15</f>
        <v>1.6971849865951742</v>
      </c>
      <c r="K15" s="1445">
        <f t="shared" si="0"/>
        <v>373</v>
      </c>
      <c r="L15" s="1445">
        <f t="shared" si="0"/>
        <v>701.05</v>
      </c>
      <c r="M15" s="1445">
        <f t="shared" si="0"/>
        <v>-328.04999999999995</v>
      </c>
      <c r="N15" s="1445">
        <f t="shared" si="0"/>
        <v>600</v>
      </c>
      <c r="O15" s="1445">
        <f t="shared" si="0"/>
        <v>600</v>
      </c>
      <c r="P15" s="1445">
        <f t="shared" si="0"/>
        <v>449.16</v>
      </c>
      <c r="Q15" s="1445">
        <f t="shared" si="0"/>
        <v>500</v>
      </c>
    </row>
    <row r="17" spans="2:2" ht="15.75" x14ac:dyDescent="0.3">
      <c r="B17" s="95" t="s">
        <v>1080</v>
      </c>
    </row>
    <row r="18" spans="2:2" x14ac:dyDescent="0.25">
      <c r="B18" t="s">
        <v>1082</v>
      </c>
    </row>
    <row r="19" spans="2:2" x14ac:dyDescent="0.25">
      <c r="B19" t="s">
        <v>1081</v>
      </c>
    </row>
  </sheetData>
  <phoneticPr fontId="20" type="noConversion"/>
  <pageMargins left="0.75" right="0.75" top="1" bottom="1" header="0.5" footer="0.5"/>
  <pageSetup paperSize="5" scale="94" orientation="portrait" r:id="rId1"/>
  <headerFooter alignWithMargins="0">
    <oddHeader>&amp;RPAGE 13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3"/>
  <sheetViews>
    <sheetView workbookViewId="0">
      <selection activeCell="P5" sqref="P5"/>
    </sheetView>
  </sheetViews>
  <sheetFormatPr defaultRowHeight="15" x14ac:dyDescent="0.25"/>
  <cols>
    <col min="1" max="1" width="10.140625" bestFit="1" customWidth="1"/>
    <col min="2" max="2" width="44.85546875" customWidth="1"/>
    <col min="3" max="3" width="15.42578125" style="76" hidden="1" customWidth="1"/>
    <col min="4" max="5" width="15.42578125" hidden="1" customWidth="1"/>
    <col min="6" max="6" width="19" style="76" hidden="1" customWidth="1"/>
    <col min="7" max="8" width="15.42578125" hidden="1" customWidth="1"/>
    <col min="9" max="9" width="15.42578125" style="144" hidden="1" customWidth="1"/>
    <col min="10" max="10" width="14.7109375" hidden="1" customWidth="1"/>
    <col min="11" max="11" width="16.85546875" hidden="1" customWidth="1"/>
    <col min="12" max="12" width="17.140625" hidden="1" customWidth="1"/>
    <col min="13" max="13" width="18.28515625" style="76" hidden="1" customWidth="1"/>
    <col min="14" max="14" width="17.5703125" style="76" hidden="1" customWidth="1"/>
    <col min="15" max="15" width="23.140625" hidden="1" customWidth="1"/>
    <col min="16" max="16" width="16.7109375" customWidth="1"/>
  </cols>
  <sheetData>
    <row r="1" spans="1:16" ht="22.5" customHeight="1" x14ac:dyDescent="0.4">
      <c r="A1" s="19"/>
      <c r="B1" s="283" t="s">
        <v>404</v>
      </c>
      <c r="C1" s="2"/>
      <c r="D1" s="2"/>
      <c r="E1" s="2"/>
      <c r="F1" s="958">
        <f ca="1">TODAY()</f>
        <v>44259</v>
      </c>
      <c r="G1" s="2"/>
      <c r="H1" s="2"/>
      <c r="I1" s="2"/>
      <c r="J1" s="2"/>
      <c r="K1" s="2"/>
      <c r="L1" s="2"/>
      <c r="M1" s="2"/>
      <c r="N1" s="2"/>
      <c r="O1" s="20"/>
      <c r="P1" s="20"/>
    </row>
    <row r="2" spans="1:16" ht="30" customHeight="1" x14ac:dyDescent="0.4">
      <c r="A2" s="20"/>
      <c r="B2" s="1078" t="s">
        <v>1155</v>
      </c>
      <c r="C2" s="5"/>
      <c r="D2" s="5"/>
      <c r="E2" s="5"/>
      <c r="F2" s="959">
        <f ca="1">NOW()</f>
        <v>44259.508154745374</v>
      </c>
      <c r="G2" s="5"/>
      <c r="H2" s="5"/>
      <c r="I2" s="5"/>
      <c r="J2" s="5"/>
      <c r="K2" s="5"/>
      <c r="L2" s="5"/>
      <c r="M2" s="5"/>
      <c r="N2" s="5"/>
      <c r="O2" s="20"/>
      <c r="P2" s="20"/>
    </row>
    <row r="3" spans="1:16" ht="22.5" customHeight="1" thickBot="1" x14ac:dyDescent="0.45">
      <c r="A3" s="139"/>
      <c r="B3" s="282" t="s">
        <v>1107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/>
      <c r="P3" s="20"/>
    </row>
    <row r="4" spans="1:16" s="93" customFormat="1" ht="65.099999999999994" customHeight="1" thickBot="1" x14ac:dyDescent="0.4">
      <c r="A4" s="329" t="s">
        <v>631</v>
      </c>
      <c r="B4" s="329" t="s">
        <v>630</v>
      </c>
      <c r="C4" s="551" t="s">
        <v>837</v>
      </c>
      <c r="D4" s="819" t="s">
        <v>811</v>
      </c>
      <c r="E4" s="190" t="s">
        <v>797</v>
      </c>
      <c r="F4" s="612" t="s">
        <v>855</v>
      </c>
      <c r="G4" s="1070" t="s">
        <v>780</v>
      </c>
      <c r="H4" s="1079" t="s">
        <v>853</v>
      </c>
      <c r="I4" s="1074" t="s">
        <v>854</v>
      </c>
      <c r="J4" s="551" t="s">
        <v>944</v>
      </c>
      <c r="K4" s="1428" t="s">
        <v>981</v>
      </c>
      <c r="L4" s="1312" t="s">
        <v>798</v>
      </c>
      <c r="M4" s="1428" t="s">
        <v>942</v>
      </c>
      <c r="N4" s="1428" t="s">
        <v>943</v>
      </c>
      <c r="O4" s="1588" t="s">
        <v>1014</v>
      </c>
      <c r="P4" s="1588" t="s">
        <v>1109</v>
      </c>
    </row>
    <row r="5" spans="1:16" s="93" customFormat="1" ht="17.100000000000001" customHeight="1" x14ac:dyDescent="0.3">
      <c r="A5" s="634">
        <v>113</v>
      </c>
      <c r="B5" s="631" t="s">
        <v>667</v>
      </c>
      <c r="C5" s="337"/>
      <c r="D5" s="836"/>
      <c r="E5" s="836"/>
      <c r="F5" s="546"/>
      <c r="G5" s="967"/>
      <c r="H5" s="967"/>
      <c r="I5" s="1091"/>
      <c r="J5" s="967"/>
      <c r="K5" s="1319"/>
      <c r="L5" s="836"/>
      <c r="M5" s="337"/>
      <c r="N5" s="546"/>
    </row>
    <row r="6" spans="1:16" s="93" customFormat="1" ht="24.75" customHeight="1" x14ac:dyDescent="0.3">
      <c r="A6" s="635">
        <v>124</v>
      </c>
      <c r="B6" s="299" t="s">
        <v>668</v>
      </c>
      <c r="C6" s="188"/>
      <c r="D6" s="180"/>
      <c r="E6" s="180"/>
      <c r="F6" s="300"/>
      <c r="G6" s="964"/>
      <c r="H6" s="964"/>
      <c r="I6" s="1077"/>
      <c r="J6" s="964"/>
      <c r="K6" s="1316"/>
      <c r="L6" s="180"/>
      <c r="M6" s="188"/>
      <c r="N6" s="300"/>
    </row>
    <row r="7" spans="1:16" ht="15.75" x14ac:dyDescent="0.3">
      <c r="A7" s="636">
        <v>153</v>
      </c>
      <c r="B7" s="299" t="s">
        <v>310</v>
      </c>
      <c r="C7" s="185"/>
      <c r="D7" s="177"/>
      <c r="E7" s="177"/>
      <c r="F7" s="303"/>
      <c r="G7" s="430"/>
      <c r="H7" s="430"/>
      <c r="I7" s="1076"/>
      <c r="J7" s="430"/>
      <c r="K7" s="1095"/>
      <c r="L7" s="177"/>
      <c r="M7" s="185"/>
      <c r="N7" s="303"/>
    </row>
    <row r="8" spans="1:16" ht="15.75" x14ac:dyDescent="0.3">
      <c r="A8" s="636">
        <v>207</v>
      </c>
      <c r="B8" s="299" t="s">
        <v>429</v>
      </c>
      <c r="C8" s="185"/>
      <c r="D8" s="177"/>
      <c r="E8" s="177"/>
      <c r="F8" s="303"/>
      <c r="G8" s="430"/>
      <c r="H8" s="430"/>
      <c r="I8" s="1076"/>
      <c r="J8" s="430"/>
      <c r="K8" s="1095"/>
      <c r="L8" s="177"/>
      <c r="M8" s="185"/>
      <c r="N8" s="303"/>
    </row>
    <row r="9" spans="1:16" ht="15.75" x14ac:dyDescent="0.3">
      <c r="A9" s="301">
        <v>211</v>
      </c>
      <c r="B9" s="299" t="s">
        <v>409</v>
      </c>
      <c r="C9" s="185"/>
      <c r="D9" s="177"/>
      <c r="E9" s="177"/>
      <c r="F9" s="303"/>
      <c r="G9" s="430"/>
      <c r="H9" s="430"/>
      <c r="I9" s="1076"/>
      <c r="J9" s="430"/>
      <c r="K9" s="1095"/>
      <c r="L9" s="177"/>
      <c r="M9" s="185"/>
      <c r="N9" s="303"/>
    </row>
    <row r="10" spans="1:16" ht="15.75" x14ac:dyDescent="0.3">
      <c r="A10" s="301">
        <v>216</v>
      </c>
      <c r="B10" s="302" t="s">
        <v>313</v>
      </c>
      <c r="C10" s="185"/>
      <c r="D10" s="177"/>
      <c r="E10" s="177"/>
      <c r="F10" s="303"/>
      <c r="G10" s="430"/>
      <c r="H10" s="430"/>
      <c r="I10" s="1076"/>
      <c r="J10" s="430"/>
      <c r="K10" s="1095"/>
      <c r="L10" s="177"/>
      <c r="M10" s="185"/>
      <c r="N10" s="303"/>
    </row>
    <row r="11" spans="1:16" ht="15.75" x14ac:dyDescent="0.3">
      <c r="A11" s="301">
        <v>219</v>
      </c>
      <c r="B11" s="302" t="s">
        <v>515</v>
      </c>
      <c r="C11" s="185"/>
      <c r="D11" s="177"/>
      <c r="E11" s="177"/>
      <c r="F11" s="303"/>
      <c r="G11" s="430"/>
      <c r="H11" s="430"/>
      <c r="I11" s="1076"/>
      <c r="J11" s="430"/>
      <c r="K11" s="1095"/>
      <c r="L11" s="177"/>
      <c r="M11" s="185"/>
      <c r="N11" s="303"/>
    </row>
    <row r="12" spans="1:16" ht="15.75" x14ac:dyDescent="0.3">
      <c r="A12" s="301">
        <v>231</v>
      </c>
      <c r="B12" s="632" t="s">
        <v>315</v>
      </c>
      <c r="C12" s="185"/>
      <c r="D12" s="177"/>
      <c r="E12" s="177"/>
      <c r="F12" s="303"/>
      <c r="G12" s="430"/>
      <c r="H12" s="430"/>
      <c r="I12" s="1076"/>
      <c r="J12" s="430"/>
      <c r="K12" s="1095"/>
      <c r="L12" s="177"/>
      <c r="M12" s="185"/>
      <c r="N12" s="303"/>
    </row>
    <row r="13" spans="1:16" ht="15.75" x14ac:dyDescent="0.3">
      <c r="A13" s="301">
        <v>240</v>
      </c>
      <c r="B13" s="299" t="s">
        <v>316</v>
      </c>
      <c r="C13" s="185"/>
      <c r="D13" s="177"/>
      <c r="E13" s="177"/>
      <c r="F13" s="303"/>
      <c r="G13" s="430"/>
      <c r="H13" s="430"/>
      <c r="I13" s="1076"/>
      <c r="J13" s="430"/>
      <c r="K13" s="1095"/>
      <c r="L13" s="177"/>
      <c r="M13" s="185"/>
      <c r="N13" s="303"/>
    </row>
    <row r="14" spans="1:16" ht="15.75" x14ac:dyDescent="0.3">
      <c r="A14" s="301">
        <v>252</v>
      </c>
      <c r="B14" s="299" t="s">
        <v>113</v>
      </c>
      <c r="C14" s="185"/>
      <c r="D14" s="177"/>
      <c r="E14" s="177"/>
      <c r="F14" s="303"/>
      <c r="G14" s="345">
        <f>[7]Sheet1!$BO$88</f>
        <v>53.7</v>
      </c>
      <c r="H14" s="345">
        <f>F14-G14</f>
        <v>-53.7</v>
      </c>
      <c r="I14" s="1076"/>
      <c r="J14" s="430"/>
      <c r="K14" s="1095"/>
      <c r="L14" s="177"/>
      <c r="M14" s="185"/>
      <c r="N14" s="303"/>
    </row>
    <row r="15" spans="1:16" ht="15.75" x14ac:dyDescent="0.3">
      <c r="A15" s="301">
        <v>251</v>
      </c>
      <c r="B15" s="299" t="s">
        <v>98</v>
      </c>
      <c r="C15" s="185">
        <v>596</v>
      </c>
      <c r="D15" s="124">
        <v>730.05</v>
      </c>
      <c r="E15" s="124">
        <f>C15-D15</f>
        <v>-134.04999999999995</v>
      </c>
      <c r="F15" s="303">
        <v>740</v>
      </c>
      <c r="G15" s="345">
        <f>[7]Sheet1!$BN$88</f>
        <v>630.35</v>
      </c>
      <c r="H15" s="345">
        <f>F15-G15</f>
        <v>109.64999999999998</v>
      </c>
      <c r="I15" s="1076">
        <f>G15/F15</f>
        <v>0.85182432432432431</v>
      </c>
      <c r="J15" s="345">
        <v>740</v>
      </c>
      <c r="K15" s="1095">
        <v>621.98</v>
      </c>
      <c r="L15" s="185">
        <f>J15-K15</f>
        <v>118.01999999999998</v>
      </c>
      <c r="M15" s="185">
        <v>740</v>
      </c>
      <c r="N15" s="303">
        <f>M15</f>
        <v>740</v>
      </c>
      <c r="O15" s="1449">
        <v>673.8</v>
      </c>
      <c r="P15" s="1449">
        <v>700</v>
      </c>
    </row>
    <row r="16" spans="1:16" ht="15.75" x14ac:dyDescent="0.3">
      <c r="A16" s="301">
        <v>271</v>
      </c>
      <c r="B16" s="299" t="s">
        <v>318</v>
      </c>
      <c r="C16" s="185"/>
      <c r="D16" s="177"/>
      <c r="E16" s="177"/>
      <c r="F16" s="303"/>
      <c r="G16" s="430"/>
      <c r="H16" s="430"/>
      <c r="I16" s="1076"/>
      <c r="J16" s="430"/>
      <c r="K16" s="1095"/>
      <c r="L16" s="177"/>
      <c r="M16" s="185"/>
      <c r="N16" s="303"/>
    </row>
    <row r="17" spans="1:16" ht="16.5" thickBot="1" x14ac:dyDescent="0.35">
      <c r="A17" s="304">
        <v>499</v>
      </c>
      <c r="B17" s="633" t="s">
        <v>516</v>
      </c>
      <c r="C17" s="193"/>
      <c r="D17" s="97"/>
      <c r="E17" s="97"/>
      <c r="F17" s="306"/>
      <c r="G17" s="916"/>
      <c r="H17" s="916"/>
      <c r="I17" s="1080"/>
      <c r="J17" s="976"/>
      <c r="K17" s="1098"/>
      <c r="L17" s="97"/>
      <c r="M17" s="193"/>
      <c r="N17" s="306"/>
    </row>
    <row r="18" spans="1:16" ht="18.75" thickBot="1" x14ac:dyDescent="0.4">
      <c r="A18" s="833"/>
      <c r="B18" s="834" t="s">
        <v>400</v>
      </c>
      <c r="C18" s="835">
        <f>SUM(C5:C17)</f>
        <v>596</v>
      </c>
      <c r="D18" s="835">
        <f>SUM(D5:D17)</f>
        <v>730.05</v>
      </c>
      <c r="E18" s="835">
        <f>SUM(E5:E17)</f>
        <v>-134.04999999999995</v>
      </c>
      <c r="F18" s="557">
        <f>SUM(F5:F17)</f>
        <v>740</v>
      </c>
      <c r="G18" s="557">
        <f t="shared" ref="G18:H18" si="0">SUM(G5:G17)</f>
        <v>684.05000000000007</v>
      </c>
      <c r="H18" s="557">
        <f t="shared" si="0"/>
        <v>55.949999999999974</v>
      </c>
      <c r="I18" s="1092">
        <f>G18/F18</f>
        <v>0.92439189189189197</v>
      </c>
      <c r="J18" s="1011">
        <f>SUM(J5:J17)</f>
        <v>740</v>
      </c>
      <c r="K18" s="1011">
        <f t="shared" ref="K18:P18" si="1">SUM(K5:K17)</f>
        <v>621.98</v>
      </c>
      <c r="L18" s="1011">
        <f t="shared" si="1"/>
        <v>118.01999999999998</v>
      </c>
      <c r="M18" s="1011">
        <f t="shared" si="1"/>
        <v>740</v>
      </c>
      <c r="N18" s="1011">
        <f t="shared" si="1"/>
        <v>740</v>
      </c>
      <c r="O18" s="1011">
        <f t="shared" si="1"/>
        <v>673.8</v>
      </c>
      <c r="P18" s="1011">
        <f t="shared" si="1"/>
        <v>700</v>
      </c>
    </row>
    <row r="20" spans="1:16" ht="15.75" hidden="1" x14ac:dyDescent="0.3">
      <c r="B20" s="95" t="s">
        <v>481</v>
      </c>
    </row>
    <row r="21" spans="1:16" ht="15.75" x14ac:dyDescent="0.3">
      <c r="B21" s="95" t="s">
        <v>1080</v>
      </c>
    </row>
    <row r="22" spans="1:16" x14ac:dyDescent="0.25">
      <c r="B22" t="s">
        <v>1082</v>
      </c>
    </row>
    <row r="23" spans="1:16" x14ac:dyDescent="0.25">
      <c r="B23" t="s">
        <v>1081</v>
      </c>
    </row>
  </sheetData>
  <phoneticPr fontId="20" type="noConversion"/>
  <pageMargins left="0.75" right="0.75" top="1" bottom="1" header="0.5" footer="0.5"/>
  <pageSetup paperSize="5" scale="89" fitToHeight="0" orientation="portrait" r:id="rId1"/>
  <headerFooter alignWithMargins="0">
    <oddHeader>&amp;RPAGE 14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16"/>
  <sheetViews>
    <sheetView workbookViewId="0">
      <selection activeCell="Q6" sqref="Q6"/>
    </sheetView>
  </sheetViews>
  <sheetFormatPr defaultRowHeight="15" x14ac:dyDescent="0.25"/>
  <cols>
    <col min="3" max="3" width="44.7109375" customWidth="1"/>
    <col min="4" max="4" width="13.28515625" style="76" hidden="1" customWidth="1"/>
    <col min="5" max="6" width="19" hidden="1" customWidth="1"/>
    <col min="7" max="7" width="13.5703125" hidden="1" customWidth="1"/>
    <col min="8" max="8" width="21.28515625" hidden="1" customWidth="1"/>
    <col min="9" max="9" width="15" hidden="1" customWidth="1"/>
    <col min="10" max="10" width="12.7109375" style="144" hidden="1" customWidth="1"/>
    <col min="11" max="11" width="13.7109375" hidden="1" customWidth="1"/>
    <col min="12" max="12" width="15.42578125" hidden="1" customWidth="1"/>
    <col min="13" max="13" width="15" hidden="1" customWidth="1"/>
    <col min="14" max="14" width="14.85546875" style="76" hidden="1" customWidth="1"/>
    <col min="15" max="15" width="14.28515625" style="76" hidden="1" customWidth="1"/>
    <col min="16" max="16" width="16.7109375" style="76" hidden="1" customWidth="1"/>
    <col min="17" max="17" width="16.7109375" style="76" customWidth="1"/>
  </cols>
  <sheetData>
    <row r="1" spans="2:17" ht="22.5" customHeight="1" x14ac:dyDescent="0.4">
      <c r="B1" s="141" t="s">
        <v>405</v>
      </c>
      <c r="C1" s="19"/>
      <c r="D1" s="2"/>
      <c r="E1" s="2"/>
      <c r="F1" s="2"/>
      <c r="G1" s="2"/>
      <c r="H1" s="958">
        <f ca="1">TODAY()</f>
        <v>44259</v>
      </c>
      <c r="I1" s="5"/>
      <c r="J1" s="5"/>
      <c r="K1" s="5"/>
      <c r="L1" s="5"/>
      <c r="M1" s="5"/>
      <c r="N1" s="5"/>
      <c r="O1" s="5"/>
      <c r="P1" s="264"/>
      <c r="Q1" s="264"/>
    </row>
    <row r="2" spans="2:17" ht="24.95" customHeight="1" x14ac:dyDescent="0.4">
      <c r="B2" s="20"/>
      <c r="C2" s="1078" t="s">
        <v>1155</v>
      </c>
      <c r="D2" s="5"/>
      <c r="E2" s="5"/>
      <c r="F2" s="5"/>
      <c r="G2" s="5"/>
      <c r="H2" s="959">
        <f ca="1">NOW()</f>
        <v>44259.508154745374</v>
      </c>
      <c r="I2" s="5"/>
      <c r="J2" s="5"/>
      <c r="K2" s="5"/>
      <c r="L2" s="5"/>
      <c r="M2" s="5"/>
      <c r="N2" s="5"/>
      <c r="O2" s="5"/>
      <c r="P2" s="264"/>
      <c r="Q2" s="264"/>
    </row>
    <row r="3" spans="2:17" ht="22.5" customHeight="1" x14ac:dyDescent="0.4">
      <c r="B3" s="264"/>
      <c r="C3" s="282" t="s">
        <v>1107</v>
      </c>
      <c r="D3" s="8"/>
      <c r="E3" s="8"/>
      <c r="F3" s="8"/>
      <c r="G3" s="8"/>
      <c r="H3" s="8"/>
      <c r="I3" s="5"/>
      <c r="J3" s="5"/>
      <c r="K3" s="5"/>
      <c r="L3" s="5"/>
      <c r="M3" s="5"/>
      <c r="N3" s="5"/>
      <c r="O3" s="5"/>
      <c r="P3" s="264"/>
      <c r="Q3" s="264"/>
    </row>
    <row r="4" spans="2:17" s="93" customFormat="1" ht="22.5" customHeight="1" thickBot="1" x14ac:dyDescent="0.4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64"/>
      <c r="Q4" s="264"/>
    </row>
    <row r="5" spans="2:17" s="93" customFormat="1" ht="68.099999999999994" customHeight="1" thickBot="1" x14ac:dyDescent="0.4">
      <c r="B5" s="329" t="s">
        <v>631</v>
      </c>
      <c r="C5" s="329" t="s">
        <v>630</v>
      </c>
      <c r="D5" s="551" t="s">
        <v>836</v>
      </c>
      <c r="E5" s="819" t="s">
        <v>811</v>
      </c>
      <c r="F5" s="190" t="s">
        <v>797</v>
      </c>
      <c r="G5" s="612" t="s">
        <v>855</v>
      </c>
      <c r="H5" s="1070" t="s">
        <v>780</v>
      </c>
      <c r="I5" s="1079" t="s">
        <v>853</v>
      </c>
      <c r="J5" s="1074" t="s">
        <v>854</v>
      </c>
      <c r="K5" s="551" t="s">
        <v>944</v>
      </c>
      <c r="L5" s="1428" t="s">
        <v>981</v>
      </c>
      <c r="M5" s="1312" t="s">
        <v>798</v>
      </c>
      <c r="N5" s="1428" t="s">
        <v>942</v>
      </c>
      <c r="O5" s="1428" t="s">
        <v>943</v>
      </c>
      <c r="P5" s="1588" t="s">
        <v>1014</v>
      </c>
      <c r="Q5" s="1588" t="s">
        <v>1109</v>
      </c>
    </row>
    <row r="6" spans="2:17" ht="15.75" x14ac:dyDescent="0.3">
      <c r="B6" s="297">
        <v>153</v>
      </c>
      <c r="C6" s="341" t="s">
        <v>310</v>
      </c>
      <c r="D6" s="332"/>
      <c r="E6" s="327"/>
      <c r="F6" s="327"/>
      <c r="G6" s="441"/>
      <c r="H6" s="963"/>
      <c r="I6" s="1093"/>
      <c r="J6" s="1094"/>
      <c r="K6" s="963"/>
      <c r="L6" s="1093"/>
      <c r="M6" s="327"/>
      <c r="N6" s="326"/>
      <c r="O6" s="485"/>
    </row>
    <row r="7" spans="2:17" ht="15.75" x14ac:dyDescent="0.3">
      <c r="B7" s="301">
        <v>216</v>
      </c>
      <c r="C7" s="342" t="s">
        <v>313</v>
      </c>
      <c r="D7" s="333"/>
      <c r="E7" s="177"/>
      <c r="F7" s="177"/>
      <c r="G7" s="442"/>
      <c r="H7" s="430"/>
      <c r="I7" s="1095"/>
      <c r="J7" s="1096"/>
      <c r="K7" s="430"/>
      <c r="L7" s="1095"/>
      <c r="M7" s="177"/>
      <c r="N7" s="185"/>
      <c r="O7" s="303"/>
    </row>
    <row r="8" spans="2:17" ht="15.75" x14ac:dyDescent="0.3">
      <c r="B8" s="301">
        <v>231</v>
      </c>
      <c r="C8" s="343" t="s">
        <v>315</v>
      </c>
      <c r="D8" s="333"/>
      <c r="E8" s="177"/>
      <c r="F8" s="177"/>
      <c r="G8" s="442"/>
      <c r="H8" s="430"/>
      <c r="I8" s="1095"/>
      <c r="J8" s="1096"/>
      <c r="K8" s="430"/>
      <c r="L8" s="1095"/>
      <c r="M8" s="177"/>
      <c r="N8" s="185"/>
      <c r="O8" s="303"/>
    </row>
    <row r="9" spans="2:17" ht="15.75" x14ac:dyDescent="0.3">
      <c r="B9" s="301">
        <v>240</v>
      </c>
      <c r="C9" s="344" t="s">
        <v>316</v>
      </c>
      <c r="D9" s="333"/>
      <c r="E9" s="177"/>
      <c r="F9" s="177"/>
      <c r="G9" s="442"/>
      <c r="H9" s="430"/>
      <c r="I9" s="1095"/>
      <c r="J9" s="1096"/>
      <c r="K9" s="430"/>
      <c r="L9" s="1095"/>
      <c r="M9" s="177"/>
      <c r="N9" s="185"/>
      <c r="O9" s="303"/>
    </row>
    <row r="10" spans="2:17" ht="15.75" x14ac:dyDescent="0.3">
      <c r="B10" s="301">
        <v>251</v>
      </c>
      <c r="C10" s="344" t="s">
        <v>98</v>
      </c>
      <c r="D10" s="333">
        <v>526</v>
      </c>
      <c r="E10" s="124">
        <v>380.48</v>
      </c>
      <c r="F10" s="124">
        <f>D10-E10</f>
        <v>145.51999999999998</v>
      </c>
      <c r="G10" s="816">
        <v>420</v>
      </c>
      <c r="H10" s="345">
        <f>[7]Sheet1!$BN$103</f>
        <v>367.95000000000005</v>
      </c>
      <c r="I10" s="1097">
        <f>G10-H10</f>
        <v>52.049999999999955</v>
      </c>
      <c r="J10" s="1096">
        <f>H10/G10</f>
        <v>0.87607142857142872</v>
      </c>
      <c r="K10" s="714">
        <f>G10</f>
        <v>420</v>
      </c>
      <c r="L10" s="1095">
        <v>480.21</v>
      </c>
      <c r="M10" s="124">
        <f>K10-L10</f>
        <v>-60.20999999999998</v>
      </c>
      <c r="N10" s="185">
        <v>420</v>
      </c>
      <c r="O10" s="303">
        <f>N10</f>
        <v>420</v>
      </c>
      <c r="P10" s="76">
        <v>598.91999999999996</v>
      </c>
      <c r="Q10" s="76">
        <v>600</v>
      </c>
    </row>
    <row r="11" spans="2:17" ht="16.5" thickBot="1" x14ac:dyDescent="0.35">
      <c r="B11" s="971">
        <v>271</v>
      </c>
      <c r="C11" s="1320" t="s">
        <v>318</v>
      </c>
      <c r="D11" s="1321"/>
      <c r="E11" s="107"/>
      <c r="F11" s="107"/>
      <c r="G11" s="1322"/>
      <c r="H11" s="976"/>
      <c r="I11" s="1151"/>
      <c r="J11" s="1115"/>
      <c r="K11" s="976"/>
      <c r="L11" s="1151"/>
      <c r="M11" s="107"/>
      <c r="N11" s="191"/>
      <c r="O11" s="1447"/>
    </row>
    <row r="12" spans="2:17" ht="18" thickBot="1" x14ac:dyDescent="0.4">
      <c r="B12" s="339"/>
      <c r="C12" s="340" t="s">
        <v>400</v>
      </c>
      <c r="D12" s="977">
        <f>SUM(D6:D11)</f>
        <v>526</v>
      </c>
      <c r="E12" s="977">
        <f>SUM(E6:E11)</f>
        <v>380.48</v>
      </c>
      <c r="F12" s="1323">
        <f>D12-E12</f>
        <v>145.51999999999998</v>
      </c>
      <c r="G12" s="977">
        <f>SUM(G6:G11)</f>
        <v>420</v>
      </c>
      <c r="H12" s="977">
        <f>SUM(H6:H11)</f>
        <v>367.95000000000005</v>
      </c>
      <c r="I12" s="977">
        <f>SUM(I6:I11)</f>
        <v>52.049999999999955</v>
      </c>
      <c r="J12" s="1100">
        <f>H12/G12</f>
        <v>0.87607142857142872</v>
      </c>
      <c r="K12" s="977">
        <f>SUM(K6:K11)</f>
        <v>420</v>
      </c>
      <c r="L12" s="977">
        <f t="shared" ref="L12:Q12" si="0">SUM(L6:L11)</f>
        <v>480.21</v>
      </c>
      <c r="M12" s="977">
        <f t="shared" si="0"/>
        <v>-60.20999999999998</v>
      </c>
      <c r="N12" s="829">
        <f t="shared" si="0"/>
        <v>420</v>
      </c>
      <c r="O12" s="829">
        <f t="shared" si="0"/>
        <v>420</v>
      </c>
      <c r="P12" s="829">
        <f t="shared" si="0"/>
        <v>598.91999999999996</v>
      </c>
      <c r="Q12" s="829">
        <f t="shared" si="0"/>
        <v>600</v>
      </c>
    </row>
    <row r="14" spans="2:17" ht="15.75" x14ac:dyDescent="0.3">
      <c r="B14" s="95" t="s">
        <v>1080</v>
      </c>
    </row>
    <row r="15" spans="2:17" x14ac:dyDescent="0.25">
      <c r="B15" t="s">
        <v>1082</v>
      </c>
    </row>
    <row r="16" spans="2:17" x14ac:dyDescent="0.25">
      <c r="B16" t="s">
        <v>1081</v>
      </c>
    </row>
  </sheetData>
  <phoneticPr fontId="20" type="noConversion"/>
  <pageMargins left="0.75" right="0.75" top="1" bottom="1" header="0.5" footer="0.5"/>
  <pageSetup paperSize="5" orientation="portrait" r:id="rId1"/>
  <headerFooter alignWithMargins="0">
    <oddHeader>&amp;RPAGE 15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:X53"/>
  <sheetViews>
    <sheetView workbookViewId="0">
      <pane xSplit="5" ySplit="4" topLeftCell="U5" activePane="bottomRight" state="frozen"/>
      <selection pane="topRight" activeCell="F1" sqref="F1"/>
      <selection pane="bottomLeft" activeCell="A6" sqref="A6"/>
      <selection pane="bottomRight" activeCell="X12" sqref="X12"/>
    </sheetView>
  </sheetViews>
  <sheetFormatPr defaultRowHeight="15" x14ac:dyDescent="0.25"/>
  <cols>
    <col min="2" max="2" width="6.42578125" customWidth="1"/>
    <col min="3" max="3" width="11.140625" customWidth="1"/>
    <col min="4" max="4" width="51.42578125" customWidth="1"/>
    <col min="5" max="5" width="16.7109375" hidden="1" customWidth="1"/>
    <col min="6" max="6" width="21.28515625" hidden="1" customWidth="1"/>
    <col min="7" max="7" width="14.140625" style="76" hidden="1" customWidth="1"/>
    <col min="8" max="9" width="14.42578125" style="76" hidden="1" customWidth="1"/>
    <col min="10" max="10" width="18.85546875" hidden="1" customWidth="1"/>
    <col min="11" max="11" width="14.140625" hidden="1" customWidth="1"/>
    <col min="12" max="12" width="13.5703125" style="144" hidden="1" customWidth="1"/>
    <col min="13" max="13" width="16" style="76" hidden="1" customWidth="1"/>
    <col min="14" max="14" width="19.7109375" style="1292" hidden="1" customWidth="1"/>
    <col min="15" max="15" width="18.7109375" style="76" hidden="1" customWidth="1"/>
    <col min="16" max="16" width="14.85546875" style="76" hidden="1" customWidth="1"/>
    <col min="17" max="17" width="21" style="76" hidden="1" customWidth="1"/>
    <col min="18" max="18" width="22.5703125" style="76" hidden="1" customWidth="1"/>
    <col min="19" max="19" width="17.140625" style="76" hidden="1" customWidth="1"/>
    <col min="20" max="20" width="21.85546875" hidden="1" customWidth="1"/>
    <col min="21" max="21" width="16.140625" customWidth="1"/>
    <col min="22" max="22" width="17" customWidth="1"/>
    <col min="23" max="23" width="19.7109375" hidden="1" customWidth="1"/>
    <col min="24" max="24" width="16.42578125" style="76" customWidth="1"/>
  </cols>
  <sheetData>
    <row r="1" spans="3:24" ht="22.5" x14ac:dyDescent="0.4">
      <c r="C1" s="19"/>
      <c r="D1" s="284" t="s">
        <v>381</v>
      </c>
      <c r="E1" s="2"/>
      <c r="F1" s="2"/>
      <c r="G1" s="2"/>
      <c r="H1" s="2"/>
      <c r="I1" s="5"/>
      <c r="J1" s="958" t="s">
        <v>646</v>
      </c>
      <c r="K1" s="958" t="s">
        <v>646</v>
      </c>
      <c r="L1" s="958" t="s">
        <v>646</v>
      </c>
      <c r="M1" s="919"/>
      <c r="N1" s="1288" t="s">
        <v>646</v>
      </c>
      <c r="O1" s="1288" t="s">
        <v>646</v>
      </c>
      <c r="P1" s="1288" t="s">
        <v>646</v>
      </c>
      <c r="Q1" s="1288" t="s">
        <v>646</v>
      </c>
      <c r="R1" s="1288"/>
      <c r="S1" s="1288" t="s">
        <v>646</v>
      </c>
      <c r="U1" s="20"/>
      <c r="V1" s="20"/>
      <c r="W1" s="20"/>
      <c r="X1" s="187"/>
    </row>
    <row r="2" spans="3:24" ht="22.5" x14ac:dyDescent="0.4">
      <c r="C2" s="20"/>
      <c r="D2" s="1078" t="s">
        <v>1155</v>
      </c>
      <c r="E2" s="5"/>
      <c r="F2" s="5"/>
      <c r="G2" s="5"/>
      <c r="H2" s="5"/>
      <c r="I2" s="5"/>
      <c r="J2" s="959">
        <f ca="1">NOW()</f>
        <v>44259.508154745374</v>
      </c>
      <c r="K2" s="958" t="s">
        <v>646</v>
      </c>
      <c r="L2" s="958" t="s">
        <v>646</v>
      </c>
      <c r="M2" s="919"/>
      <c r="N2" s="1288" t="s">
        <v>646</v>
      </c>
      <c r="O2" s="1288" t="s">
        <v>646</v>
      </c>
      <c r="P2" s="1288" t="s">
        <v>646</v>
      </c>
      <c r="Q2" s="1288" t="s">
        <v>646</v>
      </c>
      <c r="R2" s="1288"/>
      <c r="S2" s="1288" t="s">
        <v>646</v>
      </c>
      <c r="U2" s="20"/>
      <c r="V2" s="20"/>
      <c r="W2" s="20"/>
      <c r="X2" s="187"/>
    </row>
    <row r="3" spans="3:24" ht="23.25" thickBot="1" x14ac:dyDescent="0.45">
      <c r="C3" s="157"/>
      <c r="D3" s="282" t="s">
        <v>1107</v>
      </c>
      <c r="E3" s="5"/>
      <c r="F3" s="5"/>
      <c r="G3" s="5"/>
      <c r="H3" s="5"/>
      <c r="I3" s="5"/>
      <c r="J3" s="5"/>
      <c r="K3" s="958" t="s">
        <v>646</v>
      </c>
      <c r="L3" s="958" t="s">
        <v>646</v>
      </c>
      <c r="M3" s="919"/>
      <c r="N3" s="1288" t="s">
        <v>646</v>
      </c>
      <c r="O3" s="1288" t="s">
        <v>646</v>
      </c>
      <c r="P3" s="1288" t="s">
        <v>646</v>
      </c>
      <c r="Q3" s="1288" t="s">
        <v>646</v>
      </c>
      <c r="R3" s="1288"/>
      <c r="S3" s="1288" t="s">
        <v>646</v>
      </c>
      <c r="U3" s="20"/>
      <c r="V3" s="20"/>
      <c r="W3" s="20"/>
      <c r="X3" s="187"/>
    </row>
    <row r="4" spans="3:24" ht="69.95" customHeight="1" thickBot="1" x14ac:dyDescent="0.4">
      <c r="C4" s="329" t="s">
        <v>631</v>
      </c>
      <c r="D4" s="329" t="s">
        <v>630</v>
      </c>
      <c r="E4" s="551" t="s">
        <v>837</v>
      </c>
      <c r="F4" s="819" t="s">
        <v>811</v>
      </c>
      <c r="G4" s="190" t="s">
        <v>797</v>
      </c>
      <c r="H4" s="612" t="s">
        <v>858</v>
      </c>
      <c r="I4" s="612" t="s">
        <v>857</v>
      </c>
      <c r="J4" s="1070" t="s">
        <v>780</v>
      </c>
      <c r="K4" s="1079" t="s">
        <v>853</v>
      </c>
      <c r="L4" s="1074" t="s">
        <v>854</v>
      </c>
      <c r="M4" s="612" t="s">
        <v>887</v>
      </c>
      <c r="N4" s="551" t="s">
        <v>944</v>
      </c>
      <c r="O4" s="1428" t="s">
        <v>981</v>
      </c>
      <c r="P4" s="1428" t="s">
        <v>798</v>
      </c>
      <c r="Q4" s="1428" t="s">
        <v>972</v>
      </c>
      <c r="R4" s="1428" t="s">
        <v>962</v>
      </c>
      <c r="S4" s="1441" t="s">
        <v>943</v>
      </c>
      <c r="T4" s="1588" t="s">
        <v>1014</v>
      </c>
      <c r="U4" s="1588" t="s">
        <v>1075</v>
      </c>
      <c r="V4" s="1588" t="s">
        <v>1076</v>
      </c>
      <c r="W4" s="1588" t="s">
        <v>798</v>
      </c>
      <c r="X4" s="1528" t="s">
        <v>1097</v>
      </c>
    </row>
    <row r="5" spans="3:24" ht="20.100000000000001" customHeight="1" thickBot="1" x14ac:dyDescent="0.35">
      <c r="C5" s="285" t="s">
        <v>53</v>
      </c>
      <c r="D5" s="841" t="s">
        <v>99</v>
      </c>
      <c r="E5" s="815">
        <v>71543</v>
      </c>
      <c r="F5" s="822">
        <v>68791.350000000006</v>
      </c>
      <c r="G5" s="326">
        <f>F5-E5</f>
        <v>-2751.6499999999942</v>
      </c>
      <c r="H5" s="822">
        <v>71543</v>
      </c>
      <c r="I5" s="822">
        <v>71543</v>
      </c>
      <c r="J5" s="419">
        <f>[7]Sheet1!$D$118</f>
        <v>65506.477999999996</v>
      </c>
      <c r="K5" s="432">
        <f>H5-J5</f>
        <v>6036.5220000000045</v>
      </c>
      <c r="L5" s="1075">
        <f>J5/H5</f>
        <v>0.91562386257215933</v>
      </c>
      <c r="M5" s="432"/>
      <c r="N5" s="1289">
        <f>H5</f>
        <v>71543</v>
      </c>
      <c r="O5" s="332">
        <v>70552</v>
      </c>
      <c r="P5" s="326">
        <f>N5-O5</f>
        <v>991</v>
      </c>
      <c r="Q5" s="326">
        <v>73341</v>
      </c>
      <c r="R5" s="326">
        <v>73341</v>
      </c>
      <c r="S5" s="485">
        <f t="shared" ref="S5:S11" si="0">R5</f>
        <v>73341</v>
      </c>
      <c r="T5" s="1449">
        <v>73341</v>
      </c>
      <c r="U5" s="76">
        <f>T5</f>
        <v>73341</v>
      </c>
      <c r="V5" s="432">
        <f>'[14]Summ by Dept'!$D$118</f>
        <v>73340.800000000003</v>
      </c>
      <c r="W5" s="432">
        <f>V5-U5</f>
        <v>-0.19999999999708962</v>
      </c>
      <c r="X5" s="1555">
        <v>73341</v>
      </c>
    </row>
    <row r="6" spans="3:24" ht="20.100000000000001" customHeight="1" thickBot="1" x14ac:dyDescent="0.35">
      <c r="C6" s="286" t="s">
        <v>54</v>
      </c>
      <c r="D6" s="842" t="s">
        <v>101</v>
      </c>
      <c r="E6" s="816">
        <v>47005</v>
      </c>
      <c r="F6" s="824">
        <v>43400.76</v>
      </c>
      <c r="G6" s="185">
        <f t="shared" ref="G6:G11" si="1">F6-E6</f>
        <v>-3604.239999999998</v>
      </c>
      <c r="H6" s="824">
        <v>47005</v>
      </c>
      <c r="I6" s="1134">
        <f>47005+435.11</f>
        <v>47440.11</v>
      </c>
      <c r="J6" s="335">
        <f>[7]Sheet1!$E$118</f>
        <v>44184.314000000006</v>
      </c>
      <c r="K6" s="345">
        <f>I6-J6</f>
        <v>3255.7959999999948</v>
      </c>
      <c r="L6" s="1076">
        <f>J6/I6</f>
        <v>0.93137039522041587</v>
      </c>
      <c r="M6" s="345"/>
      <c r="N6" s="1290">
        <f>H6</f>
        <v>47005</v>
      </c>
      <c r="O6" s="1110">
        <v>46107.97</v>
      </c>
      <c r="P6" s="188">
        <f>N6-O6</f>
        <v>897.02999999999884</v>
      </c>
      <c r="Q6" s="188">
        <v>48180</v>
      </c>
      <c r="R6" s="188">
        <v>48180</v>
      </c>
      <c r="S6" s="300">
        <f t="shared" si="0"/>
        <v>48180</v>
      </c>
      <c r="T6" s="1449">
        <v>48180</v>
      </c>
      <c r="U6" s="76">
        <f>47004+1200</f>
        <v>48204</v>
      </c>
      <c r="V6" s="345">
        <f>'[14]Summ by Dept'!$E$118</f>
        <v>42939.826999999997</v>
      </c>
      <c r="W6" s="432">
        <f t="shared" ref="W6:W11" si="2">V6-U6</f>
        <v>-5264.1730000000025</v>
      </c>
      <c r="X6" s="1555">
        <v>49030</v>
      </c>
    </row>
    <row r="7" spans="3:24" ht="20.100000000000001" customHeight="1" thickBot="1" x14ac:dyDescent="0.35">
      <c r="C7" s="331">
        <v>116</v>
      </c>
      <c r="D7" s="842" t="s">
        <v>592</v>
      </c>
      <c r="E7" s="816">
        <v>400</v>
      </c>
      <c r="F7" s="824">
        <v>323.39</v>
      </c>
      <c r="G7" s="185">
        <f t="shared" si="1"/>
        <v>-76.610000000000014</v>
      </c>
      <c r="H7" s="824">
        <v>350</v>
      </c>
      <c r="I7" s="824">
        <v>350</v>
      </c>
      <c r="J7" s="335">
        <f>[7]Sheet1!$F$118</f>
        <v>367.37</v>
      </c>
      <c r="K7" s="345">
        <f t="shared" ref="K7:K36" si="3">H7-J7</f>
        <v>-17.370000000000005</v>
      </c>
      <c r="L7" s="1076">
        <f t="shared" ref="L7:L36" si="4">J7/H7</f>
        <v>1.0496285714285714</v>
      </c>
      <c r="M7" s="345"/>
      <c r="N7" s="1291">
        <v>350</v>
      </c>
      <c r="O7" s="333">
        <v>171.35</v>
      </c>
      <c r="P7" s="188">
        <f t="shared" ref="P7:P36" si="5">N7-O7</f>
        <v>178.65</v>
      </c>
      <c r="Q7" s="185">
        <v>250</v>
      </c>
      <c r="R7" s="185">
        <v>250</v>
      </c>
      <c r="S7" s="303">
        <f t="shared" si="0"/>
        <v>250</v>
      </c>
      <c r="T7" s="1449">
        <v>79.92</v>
      </c>
      <c r="U7" s="76">
        <v>250</v>
      </c>
      <c r="V7" s="345">
        <f>'[14]Summ by Dept'!$F$118</f>
        <v>108.22999999999999</v>
      </c>
      <c r="W7" s="432">
        <f t="shared" si="2"/>
        <v>-141.77000000000001</v>
      </c>
      <c r="X7" s="1555">
        <v>109</v>
      </c>
    </row>
    <row r="8" spans="3:24" ht="20.100000000000001" customHeight="1" thickBot="1" x14ac:dyDescent="0.35">
      <c r="C8" s="286" t="s">
        <v>56</v>
      </c>
      <c r="D8" s="842" t="s">
        <v>103</v>
      </c>
      <c r="E8" s="816">
        <v>2753</v>
      </c>
      <c r="F8" s="824">
        <v>2738.68</v>
      </c>
      <c r="G8" s="185">
        <f t="shared" si="1"/>
        <v>-14.320000000000164</v>
      </c>
      <c r="H8" s="824">
        <v>2952</v>
      </c>
      <c r="I8" s="824">
        <v>2952</v>
      </c>
      <c r="J8" s="335">
        <f>[7]Sheet1!$H$118</f>
        <v>2663.1759999999999</v>
      </c>
      <c r="K8" s="345">
        <f t="shared" si="3"/>
        <v>288.82400000000007</v>
      </c>
      <c r="L8" s="1076">
        <f t="shared" si="4"/>
        <v>0.90215989159891596</v>
      </c>
      <c r="M8" s="345"/>
      <c r="N8" s="1291">
        <v>2351</v>
      </c>
      <c r="O8" s="333">
        <v>2291.36</v>
      </c>
      <c r="P8" s="188">
        <f t="shared" si="5"/>
        <v>59.639999999999873</v>
      </c>
      <c r="Q8" s="185">
        <v>3031</v>
      </c>
      <c r="R8" s="185">
        <v>3031</v>
      </c>
      <c r="S8" s="303">
        <f t="shared" si="0"/>
        <v>3031</v>
      </c>
      <c r="T8" s="1449">
        <v>3031</v>
      </c>
      <c r="U8" s="76">
        <v>2245</v>
      </c>
      <c r="V8" s="345">
        <f>'[14]Summ by Dept'!$H$118</f>
        <v>1932.2919999999999</v>
      </c>
      <c r="W8" s="432">
        <f t="shared" si="2"/>
        <v>-312.70800000000008</v>
      </c>
      <c r="X8" s="1555">
        <v>1829</v>
      </c>
    </row>
    <row r="9" spans="3:24" ht="20.100000000000001" customHeight="1" thickBot="1" x14ac:dyDescent="0.35">
      <c r="C9" s="286" t="s">
        <v>57</v>
      </c>
      <c r="D9" s="842" t="s">
        <v>104</v>
      </c>
      <c r="E9" s="816">
        <v>14072</v>
      </c>
      <c r="F9" s="824">
        <v>15721</v>
      </c>
      <c r="G9" s="185">
        <f t="shared" si="1"/>
        <v>1649</v>
      </c>
      <c r="H9" s="824">
        <v>19488</v>
      </c>
      <c r="I9" s="824">
        <v>19488</v>
      </c>
      <c r="J9" s="335">
        <f>[7]Sheet1!$I$118</f>
        <v>17050.239999999998</v>
      </c>
      <c r="K9" s="345">
        <f t="shared" si="3"/>
        <v>2437.760000000002</v>
      </c>
      <c r="L9" s="1076">
        <f t="shared" si="4"/>
        <v>0.87490968801313618</v>
      </c>
      <c r="M9" s="345"/>
      <c r="N9" s="1291">
        <v>14328</v>
      </c>
      <c r="O9" s="333">
        <v>14328</v>
      </c>
      <c r="P9" s="188">
        <f t="shared" si="5"/>
        <v>0</v>
      </c>
      <c r="Q9" s="185">
        <v>15000</v>
      </c>
      <c r="R9" s="185">
        <v>15000</v>
      </c>
      <c r="S9" s="303">
        <f t="shared" si="0"/>
        <v>15000</v>
      </c>
      <c r="T9" s="1449">
        <v>14784</v>
      </c>
      <c r="U9" s="76">
        <v>15084</v>
      </c>
      <c r="V9" s="345">
        <f>'[14]Summ by Dept'!$I$118</f>
        <v>13875.449999999999</v>
      </c>
      <c r="W9" s="432">
        <f t="shared" si="2"/>
        <v>-1208.5500000000011</v>
      </c>
      <c r="X9" s="1555">
        <v>13770</v>
      </c>
    </row>
    <row r="10" spans="3:24" ht="20.100000000000001" customHeight="1" thickBot="1" x14ac:dyDescent="0.35">
      <c r="C10" s="286" t="s">
        <v>58</v>
      </c>
      <c r="D10" s="842" t="s">
        <v>105</v>
      </c>
      <c r="E10" s="816">
        <v>175</v>
      </c>
      <c r="F10" s="824">
        <v>120.45</v>
      </c>
      <c r="G10" s="185">
        <f t="shared" si="1"/>
        <v>-54.55</v>
      </c>
      <c r="H10" s="824">
        <v>135</v>
      </c>
      <c r="I10" s="824">
        <v>135</v>
      </c>
      <c r="J10" s="335">
        <f>[7]Sheet1!$J$118</f>
        <v>113.88000000000001</v>
      </c>
      <c r="K10" s="345">
        <f t="shared" si="3"/>
        <v>21.11999999999999</v>
      </c>
      <c r="L10" s="1076">
        <f t="shared" si="4"/>
        <v>0.84355555555555561</v>
      </c>
      <c r="M10" s="345"/>
      <c r="N10" s="1291">
        <f>H10</f>
        <v>135</v>
      </c>
      <c r="O10" s="333">
        <v>131.4</v>
      </c>
      <c r="P10" s="188">
        <f t="shared" si="5"/>
        <v>3.5999999999999943</v>
      </c>
      <c r="Q10" s="185">
        <v>135</v>
      </c>
      <c r="R10" s="185">
        <v>135</v>
      </c>
      <c r="S10" s="303">
        <f t="shared" si="0"/>
        <v>135</v>
      </c>
      <c r="T10" s="1449">
        <v>135</v>
      </c>
      <c r="U10" s="76">
        <f t="shared" ref="U10:U36" si="6">T10</f>
        <v>135</v>
      </c>
      <c r="V10" s="345">
        <f>'[14]Summ by Dept'!$J$118</f>
        <v>293.875</v>
      </c>
      <c r="W10" s="432">
        <f t="shared" si="2"/>
        <v>158.875</v>
      </c>
      <c r="X10" s="1555">
        <v>294</v>
      </c>
    </row>
    <row r="11" spans="3:24" ht="20.100000000000001" customHeight="1" x14ac:dyDescent="0.3">
      <c r="C11" s="286" t="s">
        <v>59</v>
      </c>
      <c r="D11" s="842" t="s">
        <v>106</v>
      </c>
      <c r="E11" s="816">
        <v>9100</v>
      </c>
      <c r="F11" s="824">
        <v>7827.21</v>
      </c>
      <c r="G11" s="185">
        <f t="shared" si="1"/>
        <v>-1272.79</v>
      </c>
      <c r="H11" s="824">
        <v>9069</v>
      </c>
      <c r="I11" s="824">
        <v>9069</v>
      </c>
      <c r="J11" s="335">
        <f>[7]Sheet1!$K$118</f>
        <v>7863.4119999999994</v>
      </c>
      <c r="K11" s="345">
        <f t="shared" si="3"/>
        <v>1205.5880000000006</v>
      </c>
      <c r="L11" s="1076">
        <f t="shared" si="4"/>
        <v>0.86706494652111576</v>
      </c>
      <c r="M11" s="345"/>
      <c r="N11" s="1291">
        <v>9096</v>
      </c>
      <c r="O11" s="333">
        <v>8906.33</v>
      </c>
      <c r="P11" s="188">
        <f t="shared" si="5"/>
        <v>189.67000000000007</v>
      </c>
      <c r="Q11" s="185">
        <v>9400</v>
      </c>
      <c r="R11" s="185">
        <v>9400</v>
      </c>
      <c r="S11" s="303">
        <f t="shared" si="0"/>
        <v>9400</v>
      </c>
      <c r="T11" s="1449">
        <v>9307.4699999999993</v>
      </c>
      <c r="U11" s="76">
        <f>9226+184</f>
        <v>9410</v>
      </c>
      <c r="V11" s="345">
        <f>'[14]Summ by Dept'!$K$118</f>
        <v>8699.5400000000009</v>
      </c>
      <c r="W11" s="432">
        <f t="shared" si="2"/>
        <v>-710.45999999999913</v>
      </c>
      <c r="X11" s="1555">
        <v>9297</v>
      </c>
    </row>
    <row r="12" spans="3:24" ht="20.100000000000001" customHeight="1" x14ac:dyDescent="0.3">
      <c r="C12" s="331">
        <v>141</v>
      </c>
      <c r="D12" s="259" t="s">
        <v>684</v>
      </c>
      <c r="E12" s="816"/>
      <c r="F12" s="824"/>
      <c r="G12" s="185"/>
      <c r="H12" s="824"/>
      <c r="I12" s="824"/>
      <c r="J12" s="176"/>
      <c r="K12" s="345"/>
      <c r="L12" s="1076"/>
      <c r="M12" s="345"/>
      <c r="N12" s="1291"/>
      <c r="O12" s="333"/>
      <c r="P12" s="188">
        <f t="shared" si="5"/>
        <v>0</v>
      </c>
      <c r="Q12" s="185"/>
      <c r="R12" s="335"/>
      <c r="S12" s="303"/>
      <c r="U12" s="76">
        <f t="shared" si="6"/>
        <v>0</v>
      </c>
      <c r="V12" s="430"/>
      <c r="W12" s="430"/>
      <c r="X12" s="1555"/>
    </row>
    <row r="13" spans="3:24" ht="20.100000000000001" customHeight="1" x14ac:dyDescent="0.3">
      <c r="C13" s="286" t="s">
        <v>309</v>
      </c>
      <c r="D13" s="842" t="s">
        <v>310</v>
      </c>
      <c r="E13" s="816"/>
      <c r="F13" s="824"/>
      <c r="G13" s="185"/>
      <c r="H13" s="824"/>
      <c r="I13" s="824"/>
      <c r="J13" s="176"/>
      <c r="K13" s="345"/>
      <c r="L13" s="1076"/>
      <c r="M13" s="345"/>
      <c r="N13" s="1291"/>
      <c r="O13" s="333"/>
      <c r="P13" s="188">
        <f t="shared" si="5"/>
        <v>0</v>
      </c>
      <c r="Q13" s="185"/>
      <c r="R13" s="335"/>
      <c r="S13" s="303"/>
      <c r="U13" s="76">
        <f t="shared" si="6"/>
        <v>0</v>
      </c>
      <c r="V13" s="430"/>
      <c r="W13" s="430"/>
      <c r="X13" s="1555"/>
    </row>
    <row r="14" spans="3:24" ht="20.100000000000001" customHeight="1" thickBot="1" x14ac:dyDescent="0.35">
      <c r="C14" s="286" t="s">
        <v>78</v>
      </c>
      <c r="D14" s="842" t="s">
        <v>126</v>
      </c>
      <c r="E14" s="816">
        <v>0</v>
      </c>
      <c r="F14" s="824"/>
      <c r="G14" s="185"/>
      <c r="H14" s="824"/>
      <c r="I14" s="824"/>
      <c r="J14" s="176"/>
      <c r="K14" s="345"/>
      <c r="L14" s="1076"/>
      <c r="M14" s="345"/>
      <c r="N14" s="1291"/>
      <c r="O14" s="333"/>
      <c r="P14" s="188">
        <f t="shared" si="5"/>
        <v>0</v>
      </c>
      <c r="Q14" s="185"/>
      <c r="R14" s="335"/>
      <c r="S14" s="303"/>
      <c r="U14" s="76">
        <f t="shared" si="6"/>
        <v>0</v>
      </c>
      <c r="V14" s="430"/>
      <c r="W14" s="430"/>
      <c r="X14" s="1555"/>
    </row>
    <row r="15" spans="3:24" ht="20.100000000000001" customHeight="1" thickBot="1" x14ac:dyDescent="0.35">
      <c r="C15" s="277" t="s">
        <v>510</v>
      </c>
      <c r="D15" s="632" t="s">
        <v>511</v>
      </c>
      <c r="E15" s="816">
        <v>22000</v>
      </c>
      <c r="F15" s="824">
        <v>29828.28</v>
      </c>
      <c r="G15" s="185">
        <f>F15-E15</f>
        <v>7828.2799999999988</v>
      </c>
      <c r="H15" s="824">
        <v>29850</v>
      </c>
      <c r="I15" s="824">
        <v>29850</v>
      </c>
      <c r="J15" s="335">
        <f>[7]Sheet1!$X$118</f>
        <v>17437.810000000001</v>
      </c>
      <c r="K15" s="345">
        <f t="shared" si="3"/>
        <v>12412.189999999999</v>
      </c>
      <c r="L15" s="1076">
        <f t="shared" si="4"/>
        <v>0.58418123953098833</v>
      </c>
      <c r="M15" s="345">
        <v>32000</v>
      </c>
      <c r="N15" s="1291">
        <v>32000</v>
      </c>
      <c r="O15" s="333">
        <v>31996.27</v>
      </c>
      <c r="P15" s="188">
        <f t="shared" si="5"/>
        <v>3.7299999999995634</v>
      </c>
      <c r="Q15" s="185">
        <v>32100</v>
      </c>
      <c r="R15" s="185">
        <v>32100</v>
      </c>
      <c r="S15" s="303">
        <f>R15</f>
        <v>32100</v>
      </c>
      <c r="T15" s="1449">
        <v>32202.959999999999</v>
      </c>
      <c r="U15" s="76">
        <f>32203+8100</f>
        <v>40303</v>
      </c>
      <c r="V15" s="345">
        <f>'[14]Summ by Dept'!$X$118</f>
        <v>32202.989999999998</v>
      </c>
      <c r="W15" s="432">
        <f t="shared" ref="W15:W21" si="7">V15-U15</f>
        <v>-8100.010000000002</v>
      </c>
      <c r="X15" s="1555">
        <v>32400</v>
      </c>
    </row>
    <row r="16" spans="3:24" ht="20.100000000000001" customHeight="1" thickBot="1" x14ac:dyDescent="0.35">
      <c r="C16" s="286" t="s">
        <v>60</v>
      </c>
      <c r="D16" s="842" t="s">
        <v>92</v>
      </c>
      <c r="E16" s="816">
        <v>1650</v>
      </c>
      <c r="F16" s="824">
        <v>1650</v>
      </c>
      <c r="G16" s="185">
        <f t="shared" ref="G16:G36" si="8">F16-E16</f>
        <v>0</v>
      </c>
      <c r="H16" s="824"/>
      <c r="I16" s="824"/>
      <c r="J16" s="335">
        <f>[7]Sheet1!$AD$118</f>
        <v>1650</v>
      </c>
      <c r="K16" s="345">
        <f t="shared" si="3"/>
        <v>-1650</v>
      </c>
      <c r="L16" s="1076"/>
      <c r="M16" s="345">
        <v>1650</v>
      </c>
      <c r="N16" s="1291">
        <v>1650</v>
      </c>
      <c r="O16" s="333">
        <v>1650</v>
      </c>
      <c r="P16" s="188">
        <f t="shared" si="5"/>
        <v>0</v>
      </c>
      <c r="Q16" s="185">
        <v>1650</v>
      </c>
      <c r="R16" s="185">
        <v>1650</v>
      </c>
      <c r="S16" s="303">
        <f>R16</f>
        <v>1650</v>
      </c>
      <c r="T16" s="1449">
        <v>1650</v>
      </c>
      <c r="U16" s="76">
        <f t="shared" si="6"/>
        <v>1650</v>
      </c>
      <c r="V16" s="345">
        <f>'[14]Summ by Dept'!$AD$118</f>
        <v>1675</v>
      </c>
      <c r="W16" s="432">
        <f t="shared" si="7"/>
        <v>25</v>
      </c>
      <c r="X16" s="1555">
        <v>1675</v>
      </c>
    </row>
    <row r="17" spans="3:24" ht="20.100000000000001" customHeight="1" thickBot="1" x14ac:dyDescent="0.35">
      <c r="C17" s="287" t="s">
        <v>166</v>
      </c>
      <c r="D17" s="842" t="s">
        <v>1019</v>
      </c>
      <c r="E17" s="816">
        <v>0</v>
      </c>
      <c r="F17" s="824"/>
      <c r="G17" s="185">
        <f t="shared" si="8"/>
        <v>0</v>
      </c>
      <c r="H17" s="824"/>
      <c r="I17" s="824"/>
      <c r="J17" s="335">
        <f>[7]Sheet1!$AM$118</f>
        <v>0</v>
      </c>
      <c r="K17" s="345">
        <f t="shared" si="3"/>
        <v>0</v>
      </c>
      <c r="L17" s="1076"/>
      <c r="M17" s="345"/>
      <c r="N17" s="1291"/>
      <c r="O17" s="333"/>
      <c r="P17" s="188">
        <f t="shared" si="5"/>
        <v>0</v>
      </c>
      <c r="Q17" s="185">
        <v>8100</v>
      </c>
      <c r="R17" s="335"/>
      <c r="S17" s="303">
        <v>8100</v>
      </c>
      <c r="U17" s="76">
        <v>15975</v>
      </c>
      <c r="V17" s="345">
        <f>'[14]Summ by Dept'!$AM$118</f>
        <v>288.89999999999998</v>
      </c>
      <c r="W17" s="432">
        <f t="shared" si="7"/>
        <v>-15686.1</v>
      </c>
      <c r="X17" s="1555">
        <v>0</v>
      </c>
    </row>
    <row r="18" spans="3:24" ht="24.95" customHeight="1" x14ac:dyDescent="0.3">
      <c r="C18" s="286" t="s">
        <v>61</v>
      </c>
      <c r="D18" s="842" t="s">
        <v>517</v>
      </c>
      <c r="E18" s="816">
        <v>1000</v>
      </c>
      <c r="F18" s="824">
        <v>1932.46</v>
      </c>
      <c r="G18" s="185">
        <f t="shared" si="8"/>
        <v>932.46</v>
      </c>
      <c r="H18" s="824">
        <v>2000</v>
      </c>
      <c r="I18" s="824">
        <v>2000</v>
      </c>
      <c r="J18" s="335">
        <f>[7]Sheet1!$AS$118</f>
        <v>1454.29</v>
      </c>
      <c r="K18" s="345">
        <f t="shared" si="3"/>
        <v>545.71</v>
      </c>
      <c r="L18" s="1076">
        <f t="shared" si="4"/>
        <v>0.72714499999999993</v>
      </c>
      <c r="M18" s="345"/>
      <c r="N18" s="1291">
        <v>1800</v>
      </c>
      <c r="O18" s="76">
        <v>1691.79</v>
      </c>
      <c r="P18" s="188">
        <f t="shared" si="5"/>
        <v>108.21000000000004</v>
      </c>
      <c r="Q18" s="185">
        <v>1800</v>
      </c>
      <c r="R18" s="185">
        <v>1800</v>
      </c>
      <c r="S18" s="303">
        <f>R18</f>
        <v>1800</v>
      </c>
      <c r="T18" s="1449">
        <v>2079</v>
      </c>
      <c r="U18" s="76">
        <v>2000</v>
      </c>
      <c r="V18" s="345">
        <f>'[14]Summ by Dept'!$AS$118</f>
        <v>3774.78</v>
      </c>
      <c r="W18" s="432">
        <f t="shared" si="7"/>
        <v>1774.7800000000002</v>
      </c>
      <c r="X18" s="1555">
        <v>2000</v>
      </c>
    </row>
    <row r="19" spans="3:24" ht="20.100000000000001" customHeight="1" thickBot="1" x14ac:dyDescent="0.35">
      <c r="C19" s="286" t="s">
        <v>88</v>
      </c>
      <c r="D19" s="842" t="s">
        <v>313</v>
      </c>
      <c r="E19" s="816"/>
      <c r="F19" s="824"/>
      <c r="G19" s="185">
        <f t="shared" si="8"/>
        <v>0</v>
      </c>
      <c r="H19" s="824"/>
      <c r="I19" s="824"/>
      <c r="J19" s="176"/>
      <c r="K19" s="345"/>
      <c r="L19" s="1076"/>
      <c r="M19" s="345"/>
      <c r="N19" s="1291"/>
      <c r="O19" s="333"/>
      <c r="P19" s="188">
        <f t="shared" si="5"/>
        <v>0</v>
      </c>
      <c r="Q19" s="185"/>
      <c r="R19" s="185"/>
      <c r="S19" s="303"/>
      <c r="U19" s="76">
        <f t="shared" si="6"/>
        <v>0</v>
      </c>
      <c r="V19" s="430"/>
      <c r="W19" s="430"/>
      <c r="X19" s="1555"/>
    </row>
    <row r="20" spans="3:24" ht="20.100000000000001" customHeight="1" thickBot="1" x14ac:dyDescent="0.35">
      <c r="C20" s="286" t="s">
        <v>62</v>
      </c>
      <c r="D20" s="842" t="s">
        <v>108</v>
      </c>
      <c r="E20" s="816">
        <v>0</v>
      </c>
      <c r="F20" s="824"/>
      <c r="G20" s="185">
        <f t="shared" si="8"/>
        <v>0</v>
      </c>
      <c r="H20" s="824"/>
      <c r="I20" s="824"/>
      <c r="J20" s="176"/>
      <c r="K20" s="345"/>
      <c r="L20" s="1076"/>
      <c r="M20" s="345"/>
      <c r="N20" s="1291"/>
      <c r="O20" s="333"/>
      <c r="P20" s="188">
        <f t="shared" si="5"/>
        <v>0</v>
      </c>
      <c r="Q20" s="185"/>
      <c r="R20" s="185"/>
      <c r="S20" s="303"/>
      <c r="U20" s="76">
        <f t="shared" si="6"/>
        <v>0</v>
      </c>
      <c r="V20" s="345">
        <f>'[14]Summ by Dept'!$AZ$118</f>
        <v>113</v>
      </c>
      <c r="W20" s="432">
        <f t="shared" si="7"/>
        <v>113</v>
      </c>
      <c r="X20" s="1555">
        <v>100</v>
      </c>
    </row>
    <row r="21" spans="3:24" ht="20.100000000000001" customHeight="1" x14ac:dyDescent="0.3">
      <c r="C21" s="286" t="s">
        <v>314</v>
      </c>
      <c r="D21" s="842" t="s">
        <v>358</v>
      </c>
      <c r="E21" s="816">
        <v>2100</v>
      </c>
      <c r="F21" s="824">
        <v>2343.2399999999998</v>
      </c>
      <c r="G21" s="185">
        <f t="shared" si="8"/>
        <v>243.23999999999978</v>
      </c>
      <c r="H21" s="824">
        <v>1900</v>
      </c>
      <c r="I21" s="824">
        <v>1900</v>
      </c>
      <c r="J21" s="335">
        <f>[7]Sheet1!$BA$118</f>
        <v>1347.8600000000001</v>
      </c>
      <c r="K21" s="345">
        <f t="shared" si="3"/>
        <v>552.13999999999987</v>
      </c>
      <c r="L21" s="1076">
        <f t="shared" si="4"/>
        <v>0.70940000000000003</v>
      </c>
      <c r="M21" s="345"/>
      <c r="N21" s="1291">
        <v>1800</v>
      </c>
      <c r="O21" s="333">
        <v>1700.57</v>
      </c>
      <c r="P21" s="188">
        <f t="shared" si="5"/>
        <v>99.430000000000064</v>
      </c>
      <c r="Q21" s="185">
        <v>1800</v>
      </c>
      <c r="R21" s="185">
        <v>1800</v>
      </c>
      <c r="S21" s="303">
        <f>R21</f>
        <v>1800</v>
      </c>
      <c r="T21" s="1449">
        <v>1300</v>
      </c>
      <c r="U21" s="76">
        <f t="shared" si="6"/>
        <v>1300</v>
      </c>
      <c r="V21" s="345">
        <f>'[14]Summ by Dept'!$BA$118</f>
        <v>1923.6100000000001</v>
      </c>
      <c r="W21" s="432">
        <f t="shared" si="7"/>
        <v>623.61000000000013</v>
      </c>
      <c r="X21" s="1555">
        <v>1924</v>
      </c>
    </row>
    <row r="22" spans="3:24" ht="20.100000000000001" customHeight="1" x14ac:dyDescent="0.3">
      <c r="C22" s="286" t="s">
        <v>89</v>
      </c>
      <c r="D22" s="842" t="s">
        <v>379</v>
      </c>
      <c r="E22" s="816"/>
      <c r="F22" s="824"/>
      <c r="G22" s="185">
        <f t="shared" si="8"/>
        <v>0</v>
      </c>
      <c r="H22" s="824"/>
      <c r="I22" s="824"/>
      <c r="J22" s="176"/>
      <c r="K22" s="345"/>
      <c r="L22" s="1076"/>
      <c r="M22" s="345"/>
      <c r="N22" s="1291"/>
      <c r="O22" s="333"/>
      <c r="P22" s="188">
        <f t="shared" si="5"/>
        <v>0</v>
      </c>
      <c r="Q22" s="185"/>
      <c r="R22" s="185"/>
      <c r="S22" s="303"/>
      <c r="U22" s="76">
        <f t="shared" si="6"/>
        <v>0</v>
      </c>
      <c r="V22" s="430"/>
      <c r="W22" s="430"/>
      <c r="X22" s="1555"/>
    </row>
    <row r="23" spans="3:24" ht="20.100000000000001" customHeight="1" x14ac:dyDescent="0.3">
      <c r="C23" s="286" t="s">
        <v>63</v>
      </c>
      <c r="D23" s="842" t="s">
        <v>121</v>
      </c>
      <c r="E23" s="816"/>
      <c r="F23" s="824"/>
      <c r="G23" s="185">
        <f t="shared" si="8"/>
        <v>0</v>
      </c>
      <c r="H23" s="824"/>
      <c r="I23" s="824"/>
      <c r="J23" s="176"/>
      <c r="K23" s="345"/>
      <c r="L23" s="1076"/>
      <c r="M23" s="345"/>
      <c r="N23" s="1291"/>
      <c r="O23" s="333"/>
      <c r="P23" s="188">
        <f t="shared" si="5"/>
        <v>0</v>
      </c>
      <c r="Q23" s="185"/>
      <c r="R23" s="185"/>
      <c r="S23" s="303"/>
      <c r="U23" s="76">
        <f t="shared" si="6"/>
        <v>0</v>
      </c>
      <c r="V23" s="430"/>
      <c r="W23" s="430"/>
      <c r="X23" s="1555"/>
    </row>
    <row r="24" spans="3:24" ht="20.100000000000001" customHeight="1" thickBot="1" x14ac:dyDescent="0.35">
      <c r="C24" s="277" t="s">
        <v>304</v>
      </c>
      <c r="D24" s="632" t="s">
        <v>316</v>
      </c>
      <c r="E24" s="816"/>
      <c r="F24" s="824"/>
      <c r="G24" s="185">
        <f t="shared" si="8"/>
        <v>0</v>
      </c>
      <c r="H24" s="824"/>
      <c r="I24" s="824"/>
      <c r="J24" s="176"/>
      <c r="K24" s="345"/>
      <c r="L24" s="1076"/>
      <c r="M24" s="345"/>
      <c r="N24" s="1291"/>
      <c r="O24" s="333"/>
      <c r="P24" s="188">
        <f t="shared" si="5"/>
        <v>0</v>
      </c>
      <c r="Q24" s="185"/>
      <c r="R24" s="185"/>
      <c r="S24" s="303"/>
      <c r="U24" s="76">
        <f t="shared" si="6"/>
        <v>0</v>
      </c>
      <c r="V24" s="430"/>
      <c r="W24" s="430"/>
      <c r="X24" s="1555"/>
    </row>
    <row r="25" spans="3:24" ht="20.100000000000001" customHeight="1" thickBot="1" x14ac:dyDescent="0.35">
      <c r="C25" s="287" t="s">
        <v>66</v>
      </c>
      <c r="D25" s="257" t="s">
        <v>98</v>
      </c>
      <c r="E25" s="816">
        <v>350</v>
      </c>
      <c r="F25" s="824">
        <v>195.36</v>
      </c>
      <c r="G25" s="185">
        <f t="shared" si="8"/>
        <v>-154.63999999999999</v>
      </c>
      <c r="H25" s="824">
        <v>215</v>
      </c>
      <c r="I25" s="824">
        <v>215</v>
      </c>
      <c r="J25" s="335">
        <f>[7]Sheet1!$BN$118</f>
        <v>179.07</v>
      </c>
      <c r="K25" s="345">
        <f t="shared" si="3"/>
        <v>35.930000000000007</v>
      </c>
      <c r="L25" s="1076">
        <f t="shared" si="4"/>
        <v>0.83288372093023255</v>
      </c>
      <c r="M25" s="345"/>
      <c r="N25" s="1291">
        <v>215</v>
      </c>
      <c r="O25" s="333">
        <v>241.87</v>
      </c>
      <c r="P25" s="188">
        <f t="shared" si="5"/>
        <v>-26.870000000000005</v>
      </c>
      <c r="Q25" s="185">
        <v>215</v>
      </c>
      <c r="R25" s="185">
        <v>215</v>
      </c>
      <c r="S25" s="303">
        <f t="shared" ref="S25:S32" si="9">R25</f>
        <v>215</v>
      </c>
      <c r="T25" s="1449">
        <v>224.52</v>
      </c>
      <c r="U25" s="76">
        <v>225</v>
      </c>
      <c r="V25" s="345">
        <f>'[14]Summ by Dept'!$BN$118</f>
        <v>63.66</v>
      </c>
      <c r="W25" s="432">
        <f t="shared" ref="W25:W31" si="10">V25-U25</f>
        <v>-161.34</v>
      </c>
      <c r="X25" s="1555"/>
    </row>
    <row r="26" spans="3:24" ht="20.100000000000001" customHeight="1" thickBot="1" x14ac:dyDescent="0.35">
      <c r="C26" s="286" t="s">
        <v>67</v>
      </c>
      <c r="D26" s="842" t="s">
        <v>113</v>
      </c>
      <c r="E26" s="816">
        <v>500</v>
      </c>
      <c r="F26" s="824">
        <v>838.62</v>
      </c>
      <c r="G26" s="185">
        <f t="shared" si="8"/>
        <v>338.62</v>
      </c>
      <c r="H26" s="824">
        <v>900</v>
      </c>
      <c r="I26" s="824">
        <v>900</v>
      </c>
      <c r="J26" s="335">
        <f>[7]Sheet1!$BO$118</f>
        <v>280.47000000000003</v>
      </c>
      <c r="K26" s="345">
        <f t="shared" si="3"/>
        <v>619.53</v>
      </c>
      <c r="L26" s="1076">
        <f t="shared" si="4"/>
        <v>0.31163333333333337</v>
      </c>
      <c r="M26" s="345"/>
      <c r="N26" s="1291">
        <v>500</v>
      </c>
      <c r="O26" s="333">
        <v>56.62</v>
      </c>
      <c r="P26" s="188">
        <f t="shared" si="5"/>
        <v>443.38</v>
      </c>
      <c r="Q26" s="185">
        <v>500</v>
      </c>
      <c r="R26" s="185">
        <v>500</v>
      </c>
      <c r="S26" s="303">
        <f t="shared" si="9"/>
        <v>500</v>
      </c>
      <c r="T26" s="1449">
        <v>80.400000000000006</v>
      </c>
      <c r="U26" s="76">
        <v>100</v>
      </c>
      <c r="V26" s="345">
        <f>'[14]Summ by Dept'!$BO$118</f>
        <v>159</v>
      </c>
      <c r="W26" s="432">
        <f t="shared" si="10"/>
        <v>59</v>
      </c>
      <c r="X26" s="1555">
        <v>160</v>
      </c>
    </row>
    <row r="27" spans="3:24" ht="20.100000000000001" customHeight="1" thickBot="1" x14ac:dyDescent="0.35">
      <c r="C27" s="331">
        <v>253</v>
      </c>
      <c r="D27" s="842" t="s">
        <v>114</v>
      </c>
      <c r="E27" s="816">
        <v>100</v>
      </c>
      <c r="F27" s="824">
        <v>222.4</v>
      </c>
      <c r="G27" s="185">
        <f t="shared" si="8"/>
        <v>122.4</v>
      </c>
      <c r="H27" s="824">
        <v>250</v>
      </c>
      <c r="I27" s="824">
        <v>250</v>
      </c>
      <c r="J27" s="176"/>
      <c r="K27" s="345">
        <f t="shared" si="3"/>
        <v>250</v>
      </c>
      <c r="L27" s="1076">
        <f t="shared" si="4"/>
        <v>0</v>
      </c>
      <c r="M27" s="345"/>
      <c r="N27" s="1291">
        <v>250</v>
      </c>
      <c r="O27" s="333"/>
      <c r="P27" s="188">
        <f t="shared" si="5"/>
        <v>250</v>
      </c>
      <c r="Q27" s="185">
        <v>250</v>
      </c>
      <c r="R27" s="185">
        <v>250</v>
      </c>
      <c r="S27" s="303">
        <f t="shared" si="9"/>
        <v>250</v>
      </c>
      <c r="U27" s="76">
        <f t="shared" si="6"/>
        <v>0</v>
      </c>
      <c r="V27" s="345">
        <f>'[14]Summ by Dept'!$BP$118</f>
        <v>120.94</v>
      </c>
      <c r="W27" s="432">
        <f t="shared" si="10"/>
        <v>120.94</v>
      </c>
      <c r="X27" s="1555">
        <v>121</v>
      </c>
    </row>
    <row r="28" spans="3:24" ht="20.100000000000001" customHeight="1" x14ac:dyDescent="0.3">
      <c r="C28" s="286" t="s">
        <v>69</v>
      </c>
      <c r="D28" s="842" t="s">
        <v>325</v>
      </c>
      <c r="E28" s="816">
        <v>500</v>
      </c>
      <c r="F28" s="824">
        <v>1199.3900000000001</v>
      </c>
      <c r="G28" s="185">
        <f t="shared" si="8"/>
        <v>699.3900000000001</v>
      </c>
      <c r="H28" s="824">
        <v>1300</v>
      </c>
      <c r="I28" s="824">
        <v>1300</v>
      </c>
      <c r="J28" s="335">
        <f>[7]Sheet1!$BT$118</f>
        <v>540.43000000000006</v>
      </c>
      <c r="K28" s="345">
        <f t="shared" si="3"/>
        <v>759.56999999999994</v>
      </c>
      <c r="L28" s="1076">
        <f t="shared" si="4"/>
        <v>0.41571538461538465</v>
      </c>
      <c r="M28" s="345"/>
      <c r="N28" s="1291">
        <v>1500</v>
      </c>
      <c r="O28" s="333">
        <v>831.6</v>
      </c>
      <c r="P28" s="188">
        <f t="shared" si="5"/>
        <v>668.4</v>
      </c>
      <c r="Q28" s="185">
        <v>1500</v>
      </c>
      <c r="R28" s="185">
        <v>1500</v>
      </c>
      <c r="S28" s="303">
        <f t="shared" si="9"/>
        <v>1500</v>
      </c>
      <c r="T28" s="1449">
        <v>1471</v>
      </c>
      <c r="U28" s="76">
        <v>1500</v>
      </c>
      <c r="V28" s="345">
        <f>'[14]Summ by Dept'!$BT$118</f>
        <v>280.8</v>
      </c>
      <c r="W28" s="432">
        <f t="shared" si="10"/>
        <v>-1219.2</v>
      </c>
      <c r="X28" s="1555">
        <v>280</v>
      </c>
    </row>
    <row r="29" spans="3:24" ht="20.100000000000001" customHeight="1" thickBot="1" x14ac:dyDescent="0.35">
      <c r="C29" s="286" t="s">
        <v>152</v>
      </c>
      <c r="D29" s="842" t="s">
        <v>872</v>
      </c>
      <c r="E29" s="816"/>
      <c r="F29" s="824"/>
      <c r="G29" s="185"/>
      <c r="H29" s="824">
        <v>0</v>
      </c>
      <c r="I29" s="824">
        <v>0</v>
      </c>
      <c r="J29" s="335">
        <f>[7]Sheet1!$BU$118</f>
        <v>442.88</v>
      </c>
      <c r="K29" s="345">
        <f>I29-J29</f>
        <v>-442.88</v>
      </c>
      <c r="L29" s="1076"/>
      <c r="M29" s="345"/>
      <c r="N29" s="1291">
        <v>450</v>
      </c>
      <c r="O29" s="333"/>
      <c r="P29" s="188">
        <f t="shared" si="5"/>
        <v>450</v>
      </c>
      <c r="Q29" s="185">
        <v>450</v>
      </c>
      <c r="R29" s="185">
        <v>450</v>
      </c>
      <c r="S29" s="303">
        <f t="shared" si="9"/>
        <v>450</v>
      </c>
      <c r="U29" s="76">
        <f t="shared" si="6"/>
        <v>0</v>
      </c>
      <c r="V29" s="430"/>
      <c r="W29" s="430"/>
      <c r="X29" s="1555"/>
    </row>
    <row r="30" spans="3:24" ht="20.100000000000001" customHeight="1" thickBot="1" x14ac:dyDescent="0.35">
      <c r="C30" s="286" t="s">
        <v>70</v>
      </c>
      <c r="D30" s="842" t="s">
        <v>115</v>
      </c>
      <c r="E30" s="816">
        <v>750</v>
      </c>
      <c r="F30" s="824">
        <v>3836.25</v>
      </c>
      <c r="G30" s="185">
        <f t="shared" si="8"/>
        <v>3086.25</v>
      </c>
      <c r="H30" s="824">
        <v>3000</v>
      </c>
      <c r="I30" s="824">
        <v>3000</v>
      </c>
      <c r="J30" s="335">
        <f>[7]Sheet1!$BV$118</f>
        <v>2918.6400000000003</v>
      </c>
      <c r="K30" s="345">
        <f t="shared" si="3"/>
        <v>81.359999999999673</v>
      </c>
      <c r="L30" s="1076">
        <f t="shared" si="4"/>
        <v>0.97288000000000008</v>
      </c>
      <c r="M30" s="345"/>
      <c r="N30" s="1291">
        <v>3500</v>
      </c>
      <c r="O30" s="333">
        <v>3995.72</v>
      </c>
      <c r="P30" s="188">
        <f t="shared" si="5"/>
        <v>-495.7199999999998</v>
      </c>
      <c r="Q30" s="185">
        <v>3500</v>
      </c>
      <c r="R30" s="185">
        <v>3500</v>
      </c>
      <c r="S30" s="303">
        <f t="shared" si="9"/>
        <v>3500</v>
      </c>
      <c r="T30" s="1449">
        <v>3259.36</v>
      </c>
      <c r="U30" s="76">
        <v>3300</v>
      </c>
      <c r="V30" s="345">
        <f>'[14]Summ by Dept'!$BV$118</f>
        <v>605.49</v>
      </c>
      <c r="W30" s="432">
        <f t="shared" si="10"/>
        <v>-2694.51</v>
      </c>
      <c r="X30" s="1555">
        <v>600</v>
      </c>
    </row>
    <row r="31" spans="3:24" ht="20.100000000000001" customHeight="1" x14ac:dyDescent="0.3">
      <c r="C31" s="286" t="s">
        <v>71</v>
      </c>
      <c r="D31" s="842" t="s">
        <v>116</v>
      </c>
      <c r="E31" s="816">
        <v>750</v>
      </c>
      <c r="F31" s="824">
        <v>2850</v>
      </c>
      <c r="G31" s="185">
        <f t="shared" si="8"/>
        <v>2100</v>
      </c>
      <c r="H31" s="824">
        <v>2900</v>
      </c>
      <c r="I31" s="824">
        <v>2900</v>
      </c>
      <c r="J31" s="335">
        <f>[7]Sheet1!$BW$118</f>
        <v>1650</v>
      </c>
      <c r="K31" s="345">
        <f t="shared" si="3"/>
        <v>1250</v>
      </c>
      <c r="L31" s="1076">
        <f t="shared" si="4"/>
        <v>0.56896551724137934</v>
      </c>
      <c r="M31" s="345"/>
      <c r="N31" s="1291">
        <v>2900</v>
      </c>
      <c r="O31" s="333">
        <v>2025</v>
      </c>
      <c r="P31" s="188">
        <f t="shared" si="5"/>
        <v>875</v>
      </c>
      <c r="Q31" s="185">
        <v>2900</v>
      </c>
      <c r="R31" s="185">
        <v>2900</v>
      </c>
      <c r="S31" s="303">
        <f t="shared" si="9"/>
        <v>2900</v>
      </c>
      <c r="T31" s="1449">
        <v>1500</v>
      </c>
      <c r="U31" s="76">
        <v>2000</v>
      </c>
      <c r="V31" s="345">
        <f>'[14]Summ by Dept'!$BW$118</f>
        <v>525</v>
      </c>
      <c r="W31" s="432">
        <f t="shared" si="10"/>
        <v>-1475</v>
      </c>
      <c r="X31" s="1555">
        <v>525</v>
      </c>
    </row>
    <row r="32" spans="3:24" ht="20.100000000000001" customHeight="1" x14ac:dyDescent="0.3">
      <c r="C32" s="331">
        <v>269</v>
      </c>
      <c r="D32" s="842" t="s">
        <v>636</v>
      </c>
      <c r="E32" s="816">
        <v>0</v>
      </c>
      <c r="F32" s="824">
        <v>278.2</v>
      </c>
      <c r="G32" s="185">
        <f t="shared" si="8"/>
        <v>278.2</v>
      </c>
      <c r="H32" s="824">
        <v>300</v>
      </c>
      <c r="I32" s="824">
        <v>300</v>
      </c>
      <c r="J32" s="335">
        <f>[7]Sheet1!$BX$118</f>
        <v>30</v>
      </c>
      <c r="K32" s="345">
        <f t="shared" si="3"/>
        <v>270</v>
      </c>
      <c r="L32" s="1076">
        <f t="shared" si="4"/>
        <v>0.1</v>
      </c>
      <c r="M32" s="345"/>
      <c r="N32" s="1291">
        <v>100</v>
      </c>
      <c r="O32" s="333"/>
      <c r="P32" s="188">
        <f t="shared" si="5"/>
        <v>100</v>
      </c>
      <c r="Q32" s="185">
        <v>100</v>
      </c>
      <c r="R32" s="185">
        <v>100</v>
      </c>
      <c r="S32" s="303">
        <f t="shared" si="9"/>
        <v>100</v>
      </c>
      <c r="U32" s="76">
        <f t="shared" si="6"/>
        <v>0</v>
      </c>
      <c r="V32" s="430"/>
      <c r="W32" s="430"/>
      <c r="X32" s="1555"/>
    </row>
    <row r="33" spans="3:24" ht="20.100000000000001" customHeight="1" thickBot="1" x14ac:dyDescent="0.35">
      <c r="C33" s="286" t="s">
        <v>317</v>
      </c>
      <c r="D33" s="842" t="s">
        <v>318</v>
      </c>
      <c r="E33" s="816"/>
      <c r="F33" s="824"/>
      <c r="G33" s="185">
        <f t="shared" si="8"/>
        <v>0</v>
      </c>
      <c r="H33" s="824"/>
      <c r="I33" s="824"/>
      <c r="J33" s="176"/>
      <c r="K33" s="345"/>
      <c r="L33" s="1076"/>
      <c r="M33" s="345"/>
      <c r="N33" s="1291"/>
      <c r="O33" s="333"/>
      <c r="P33" s="188">
        <f t="shared" si="5"/>
        <v>0</v>
      </c>
      <c r="Q33" s="185"/>
      <c r="R33" s="185"/>
      <c r="S33" s="303"/>
      <c r="U33" s="76">
        <f t="shared" si="6"/>
        <v>0</v>
      </c>
      <c r="V33" s="430"/>
      <c r="W33" s="430"/>
      <c r="X33" s="1555"/>
    </row>
    <row r="34" spans="3:24" ht="20.100000000000001" customHeight="1" x14ac:dyDescent="0.3">
      <c r="C34" s="286" t="s">
        <v>73</v>
      </c>
      <c r="D34" s="842" t="s">
        <v>118</v>
      </c>
      <c r="E34" s="816">
        <v>150</v>
      </c>
      <c r="F34" s="824">
        <v>200</v>
      </c>
      <c r="G34" s="185">
        <f t="shared" si="8"/>
        <v>50</v>
      </c>
      <c r="H34" s="824">
        <v>200</v>
      </c>
      <c r="I34" s="824">
        <v>200</v>
      </c>
      <c r="J34" s="335">
        <f>[7]Sheet1!$CA$118</f>
        <v>200</v>
      </c>
      <c r="K34" s="345">
        <f t="shared" si="3"/>
        <v>0</v>
      </c>
      <c r="L34" s="1076">
        <f t="shared" si="4"/>
        <v>1</v>
      </c>
      <c r="M34" s="345"/>
      <c r="N34" s="1291">
        <v>200</v>
      </c>
      <c r="O34" s="333">
        <v>200</v>
      </c>
      <c r="P34" s="188">
        <f t="shared" si="5"/>
        <v>0</v>
      </c>
      <c r="Q34" s="185">
        <v>200</v>
      </c>
      <c r="R34" s="185">
        <v>200</v>
      </c>
      <c r="S34" s="303">
        <f>R34</f>
        <v>200</v>
      </c>
      <c r="T34" s="1449">
        <v>992</v>
      </c>
      <c r="U34" s="76">
        <v>1000</v>
      </c>
      <c r="V34" s="345">
        <f>'[14]Summ by Dept'!$CA$118</f>
        <v>311.95999999999998</v>
      </c>
      <c r="W34" s="432">
        <f t="shared" ref="W34" si="11">V34-U34</f>
        <v>-688.04</v>
      </c>
      <c r="X34" s="1555">
        <v>350</v>
      </c>
    </row>
    <row r="35" spans="3:24" ht="24.95" customHeight="1" x14ac:dyDescent="0.3">
      <c r="C35" s="286" t="s">
        <v>123</v>
      </c>
      <c r="D35" s="842" t="s">
        <v>120</v>
      </c>
      <c r="E35" s="816"/>
      <c r="F35" s="824">
        <v>692</v>
      </c>
      <c r="G35" s="185">
        <f t="shared" si="8"/>
        <v>692</v>
      </c>
      <c r="H35" s="824">
        <v>500</v>
      </c>
      <c r="I35" s="824">
        <v>500</v>
      </c>
      <c r="J35" s="335">
        <f>[7]Sheet1!$CJ$118</f>
        <v>227.49</v>
      </c>
      <c r="K35" s="345">
        <f t="shared" si="3"/>
        <v>272.51</v>
      </c>
      <c r="L35" s="1076">
        <f t="shared" si="4"/>
        <v>0.45498</v>
      </c>
      <c r="M35" s="345"/>
      <c r="N35" s="1291">
        <v>350</v>
      </c>
      <c r="O35" s="333"/>
      <c r="P35" s="188">
        <f t="shared" si="5"/>
        <v>350</v>
      </c>
      <c r="Q35" s="185">
        <v>350</v>
      </c>
      <c r="R35" s="185">
        <v>350</v>
      </c>
      <c r="S35" s="303">
        <f>R35</f>
        <v>350</v>
      </c>
      <c r="U35" s="76">
        <f t="shared" si="6"/>
        <v>0</v>
      </c>
      <c r="V35" s="430"/>
      <c r="W35" s="430"/>
      <c r="X35" s="1555"/>
    </row>
    <row r="36" spans="3:24" ht="24.95" customHeight="1" thickBot="1" x14ac:dyDescent="0.35">
      <c r="C36" s="843">
        <v>499</v>
      </c>
      <c r="D36" s="844" t="s">
        <v>637</v>
      </c>
      <c r="E36" s="817">
        <v>0</v>
      </c>
      <c r="F36" s="828">
        <v>251.39</v>
      </c>
      <c r="G36" s="185">
        <f t="shared" si="8"/>
        <v>251.39</v>
      </c>
      <c r="H36" s="828">
        <v>250</v>
      </c>
      <c r="I36" s="828">
        <v>250</v>
      </c>
      <c r="J36" s="1084">
        <f>[7]Sheet1!$CM$118</f>
        <v>119.95</v>
      </c>
      <c r="K36" s="372">
        <f t="shared" si="3"/>
        <v>130.05000000000001</v>
      </c>
      <c r="L36" s="1081">
        <f t="shared" si="4"/>
        <v>0.4798</v>
      </c>
      <c r="M36" s="372"/>
      <c r="N36" s="1301">
        <v>250</v>
      </c>
      <c r="O36" s="334"/>
      <c r="P36" s="188">
        <f t="shared" si="5"/>
        <v>250</v>
      </c>
      <c r="Q36" s="193">
        <v>250</v>
      </c>
      <c r="R36" s="193">
        <v>250</v>
      </c>
      <c r="S36" s="306">
        <f>R36</f>
        <v>250</v>
      </c>
      <c r="U36" s="76">
        <f t="shared" si="6"/>
        <v>0</v>
      </c>
      <c r="V36" s="976"/>
      <c r="W36" s="976"/>
      <c r="X36" s="1555"/>
    </row>
    <row r="37" spans="3:24" ht="24.95" customHeight="1" thickBot="1" x14ac:dyDescent="0.4">
      <c r="C37" s="837"/>
      <c r="D37" s="837" t="s">
        <v>75</v>
      </c>
      <c r="E37" s="968">
        <f t="shared" ref="E37:J37" si="12">SUM(E5:E36)</f>
        <v>174898</v>
      </c>
      <c r="F37" s="838">
        <f t="shared" si="12"/>
        <v>185240.43</v>
      </c>
      <c r="G37" s="838">
        <f t="shared" si="12"/>
        <v>10342.430000000008</v>
      </c>
      <c r="H37" s="968">
        <f t="shared" si="12"/>
        <v>194107</v>
      </c>
      <c r="I37" s="968">
        <f t="shared" si="12"/>
        <v>194542.11</v>
      </c>
      <c r="J37" s="1101">
        <f t="shared" si="12"/>
        <v>166227.76000000004</v>
      </c>
      <c r="K37" s="1083">
        <f>I37-J37</f>
        <v>28314.349999999948</v>
      </c>
      <c r="L37" s="1082">
        <f>J37/I37</f>
        <v>0.85445644647320851</v>
      </c>
      <c r="M37" s="824">
        <v>2900</v>
      </c>
      <c r="N37" s="1446">
        <f t="shared" ref="N37:X37" si="13">SUM(N5:N36)</f>
        <v>192273</v>
      </c>
      <c r="O37" s="1446">
        <f t="shared" si="13"/>
        <v>186877.84999999998</v>
      </c>
      <c r="P37" s="1446">
        <f t="shared" si="13"/>
        <v>5395.15</v>
      </c>
      <c r="Q37" s="1446">
        <f t="shared" si="13"/>
        <v>205002</v>
      </c>
      <c r="R37" s="1446">
        <f t="shared" si="13"/>
        <v>196902</v>
      </c>
      <c r="S37" s="1446">
        <f t="shared" si="13"/>
        <v>205002</v>
      </c>
      <c r="T37" s="1446">
        <f t="shared" si="13"/>
        <v>193617.62999999995</v>
      </c>
      <c r="U37" s="1663">
        <f t="shared" si="13"/>
        <v>218022</v>
      </c>
      <c r="V37" s="1663">
        <f t="shared" si="13"/>
        <v>183235.14399999997</v>
      </c>
      <c r="W37" s="432">
        <f t="shared" ref="W37" si="14">V37-U37</f>
        <v>-34786.856000000029</v>
      </c>
      <c r="X37" s="1708">
        <f t="shared" si="13"/>
        <v>187805</v>
      </c>
    </row>
    <row r="38" spans="3:24" ht="18" hidden="1" x14ac:dyDescent="0.35">
      <c r="D38" s="16" t="s">
        <v>478</v>
      </c>
    </row>
    <row r="39" spans="3:24" ht="18" hidden="1" x14ac:dyDescent="0.35">
      <c r="D39" s="117" t="s">
        <v>479</v>
      </c>
      <c r="F39">
        <f>200674-199674</f>
        <v>1000</v>
      </c>
    </row>
    <row r="40" spans="3:24" ht="18" hidden="1" x14ac:dyDescent="0.35">
      <c r="D40" s="16" t="s">
        <v>480</v>
      </c>
    </row>
    <row r="41" spans="3:24" x14ac:dyDescent="0.25">
      <c r="D41" s="501"/>
      <c r="E41" s="62"/>
      <c r="F41" s="62"/>
      <c r="G41" s="62"/>
      <c r="H41" s="62"/>
      <c r="I41" s="1236"/>
      <c r="J41" s="62"/>
      <c r="K41" s="62"/>
      <c r="L41" s="1105"/>
      <c r="M41" s="1236"/>
      <c r="N41" s="1293"/>
    </row>
    <row r="42" spans="3:24" x14ac:dyDescent="0.25">
      <c r="D42" s="62"/>
      <c r="E42" s="62"/>
      <c r="F42" s="62"/>
      <c r="G42" s="1236"/>
      <c r="H42" s="1236"/>
      <c r="I42" s="1236"/>
      <c r="J42" s="1236"/>
      <c r="K42" s="1236"/>
      <c r="L42" s="1105"/>
      <c r="M42" s="1236"/>
      <c r="N42" s="1293"/>
    </row>
    <row r="43" spans="3:24" x14ac:dyDescent="0.25">
      <c r="D43" s="62"/>
      <c r="E43" s="62"/>
      <c r="F43" s="62"/>
      <c r="G43" s="1236"/>
      <c r="H43" s="1236"/>
      <c r="I43" s="1236"/>
      <c r="J43" s="62"/>
      <c r="K43" s="62"/>
      <c r="L43" s="1105"/>
      <c r="M43" s="1236"/>
      <c r="N43" s="1293"/>
    </row>
    <row r="44" spans="3:24" x14ac:dyDescent="0.25">
      <c r="D44" s="62"/>
      <c r="E44" s="62"/>
      <c r="F44" s="62"/>
      <c r="G44" s="1236"/>
      <c r="H44" s="1236"/>
      <c r="I44" s="1236"/>
      <c r="J44" s="62"/>
      <c r="K44" s="62"/>
      <c r="L44" s="1105"/>
      <c r="M44" s="1236"/>
      <c r="N44" s="1293"/>
    </row>
    <row r="47" spans="3:24" x14ac:dyDescent="0.25">
      <c r="D47" s="1248"/>
    </row>
    <row r="48" spans="3:24" x14ac:dyDescent="0.25">
      <c r="C48" s="1247"/>
    </row>
    <row r="51" spans="3:3" x14ac:dyDescent="0.25">
      <c r="C51" s="1247"/>
    </row>
    <row r="52" spans="3:3" x14ac:dyDescent="0.25">
      <c r="C52" s="1247"/>
    </row>
    <row r="53" spans="3:3" x14ac:dyDescent="0.25">
      <c r="C53" s="1247"/>
    </row>
  </sheetData>
  <phoneticPr fontId="20" type="noConversion"/>
  <pageMargins left="0.75" right="0.75" top="1" bottom="1" header="0.5" footer="0.5"/>
  <pageSetup paperSize="5" scale="79" fitToHeight="0" orientation="portrait" r:id="rId1"/>
  <headerFooter alignWithMargins="0">
    <oddHeader>&amp;RPAGE   16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1"/>
  <sheetViews>
    <sheetView workbookViewId="0">
      <selection activeCell="V13" sqref="V13"/>
    </sheetView>
  </sheetViews>
  <sheetFormatPr defaultRowHeight="15" x14ac:dyDescent="0.25"/>
  <cols>
    <col min="1" max="1" width="7.140625" customWidth="1"/>
    <col min="2" max="2" width="56.28515625" customWidth="1"/>
    <col min="3" max="3" width="24" hidden="1" customWidth="1"/>
    <col min="4" max="4" width="16.85546875" style="85" hidden="1" customWidth="1"/>
    <col min="5" max="5" width="16.28515625" style="85" hidden="1" customWidth="1"/>
    <col min="6" max="7" width="20.7109375" style="85" hidden="1" customWidth="1"/>
    <col min="8" max="8" width="17.140625" hidden="1" customWidth="1"/>
    <col min="9" max="9" width="14.42578125" style="1024" hidden="1" customWidth="1"/>
    <col min="10" max="10" width="15.28515625" style="144" hidden="1" customWidth="1"/>
    <col min="11" max="11" width="15.28515625" style="76" hidden="1" customWidth="1"/>
    <col min="12" max="12" width="16.42578125" style="76" hidden="1" customWidth="1"/>
    <col min="13" max="13" width="15.85546875" style="76" hidden="1" customWidth="1"/>
    <col min="14" max="14" width="12.28515625" style="76" hidden="1" customWidth="1"/>
    <col min="15" max="15" width="17.42578125" style="76" hidden="1" customWidth="1"/>
    <col min="16" max="16" width="23.42578125" style="76" hidden="1" customWidth="1"/>
    <col min="17" max="17" width="16" hidden="1" customWidth="1"/>
    <col min="18" max="18" width="20.140625" hidden="1" customWidth="1"/>
    <col min="19" max="19" width="21.42578125" customWidth="1"/>
    <col min="20" max="20" width="17.140625" customWidth="1"/>
    <col min="21" max="21" width="16.140625" hidden="1" customWidth="1"/>
    <col min="22" max="22" width="15.5703125" style="76" customWidth="1"/>
  </cols>
  <sheetData>
    <row r="1" spans="1:22" ht="22.5" x14ac:dyDescent="0.4">
      <c r="A1" s="19"/>
      <c r="B1" s="198" t="s">
        <v>124</v>
      </c>
      <c r="C1" s="2"/>
      <c r="D1" s="122"/>
      <c r="E1" s="122"/>
      <c r="F1" s="958">
        <f ca="1">TODAY()</f>
        <v>44259</v>
      </c>
      <c r="G1" s="958"/>
      <c r="H1" s="122"/>
      <c r="I1" s="1142"/>
      <c r="J1" s="122"/>
      <c r="K1" s="2"/>
      <c r="L1" s="2"/>
      <c r="M1" s="2"/>
      <c r="N1" s="2"/>
      <c r="O1" s="2"/>
      <c r="P1" s="2"/>
      <c r="Q1" s="2"/>
      <c r="R1" s="20"/>
      <c r="S1" s="20"/>
      <c r="T1" s="20"/>
      <c r="U1" s="20"/>
      <c r="V1" s="187"/>
    </row>
    <row r="2" spans="1:22" ht="24.95" customHeight="1" x14ac:dyDescent="0.4">
      <c r="A2" s="20"/>
      <c r="B2" s="1078" t="s">
        <v>1155</v>
      </c>
      <c r="C2" s="5"/>
      <c r="D2" s="123"/>
      <c r="E2" s="123"/>
      <c r="F2" s="959">
        <f ca="1">NOW()</f>
        <v>44259.508154745374</v>
      </c>
      <c r="G2" s="959"/>
      <c r="H2" s="123"/>
      <c r="I2" s="1143"/>
      <c r="J2" s="123"/>
      <c r="K2" s="5"/>
      <c r="L2" s="5"/>
      <c r="M2" s="5"/>
      <c r="N2" s="5"/>
      <c r="O2" s="5"/>
      <c r="P2" s="5"/>
      <c r="Q2" s="5"/>
      <c r="R2" s="20"/>
      <c r="S2" s="20"/>
      <c r="T2" s="20"/>
      <c r="U2" s="20"/>
      <c r="V2" s="187"/>
    </row>
    <row r="3" spans="1:22" ht="23.25" thickBot="1" x14ac:dyDescent="0.45">
      <c r="A3" s="157"/>
      <c r="B3" s="282" t="s">
        <v>1107</v>
      </c>
      <c r="C3" s="5"/>
      <c r="D3" s="123"/>
      <c r="E3" s="123"/>
      <c r="F3" s="123"/>
      <c r="G3" s="123"/>
      <c r="H3" s="123"/>
      <c r="I3" s="1143"/>
      <c r="J3" s="123"/>
      <c r="K3" s="5"/>
      <c r="L3" s="5"/>
      <c r="M3" s="5"/>
      <c r="N3" s="5"/>
      <c r="O3" s="5"/>
      <c r="P3" s="5"/>
      <c r="Q3" s="5"/>
      <c r="R3" s="20"/>
      <c r="S3" s="20"/>
      <c r="T3" s="20"/>
      <c r="U3" s="20"/>
      <c r="V3" s="187"/>
    </row>
    <row r="4" spans="1:22" ht="77.099999999999994" customHeight="1" thickBot="1" x14ac:dyDescent="0.4">
      <c r="A4" s="329" t="s">
        <v>631</v>
      </c>
      <c r="B4" s="329" t="s">
        <v>630</v>
      </c>
      <c r="C4" s="551" t="s">
        <v>836</v>
      </c>
      <c r="D4" s="819" t="s">
        <v>811</v>
      </c>
      <c r="E4" s="190" t="s">
        <v>797</v>
      </c>
      <c r="F4" s="612" t="s">
        <v>852</v>
      </c>
      <c r="G4" s="612" t="s">
        <v>857</v>
      </c>
      <c r="H4" s="1070" t="s">
        <v>780</v>
      </c>
      <c r="I4" s="1144" t="s">
        <v>853</v>
      </c>
      <c r="J4" s="1074" t="s">
        <v>854</v>
      </c>
      <c r="K4" s="612" t="s">
        <v>887</v>
      </c>
      <c r="L4" s="551" t="s">
        <v>944</v>
      </c>
      <c r="M4" s="1428" t="s">
        <v>981</v>
      </c>
      <c r="N4" s="1428" t="s">
        <v>798</v>
      </c>
      <c r="O4" s="1428" t="s">
        <v>972</v>
      </c>
      <c r="P4" s="1428" t="s">
        <v>962</v>
      </c>
      <c r="Q4" s="1441" t="s">
        <v>943</v>
      </c>
      <c r="R4" s="1588" t="s">
        <v>1014</v>
      </c>
      <c r="S4" s="1588" t="s">
        <v>1074</v>
      </c>
      <c r="T4" s="1588" t="s">
        <v>1076</v>
      </c>
      <c r="U4" s="1588" t="s">
        <v>798</v>
      </c>
      <c r="V4" s="1528" t="s">
        <v>1097</v>
      </c>
    </row>
    <row r="5" spans="1:22" ht="24.95" customHeight="1" thickBot="1" x14ac:dyDescent="0.35">
      <c r="A5" s="285" t="s">
        <v>53</v>
      </c>
      <c r="B5" s="841" t="s">
        <v>99</v>
      </c>
      <c r="C5" s="815">
        <v>71074</v>
      </c>
      <c r="D5" s="846">
        <v>68340.38</v>
      </c>
      <c r="E5" s="704">
        <f>D5-C5</f>
        <v>-2733.6199999999953</v>
      </c>
      <c r="F5" s="1102">
        <v>71074</v>
      </c>
      <c r="G5" s="1102">
        <v>71074</v>
      </c>
      <c r="H5" s="477">
        <f>[7]Sheet1!$D$133</f>
        <v>65074.72600000001</v>
      </c>
      <c r="I5" s="1145">
        <f>F5-H5</f>
        <v>5999.2739999999903</v>
      </c>
      <c r="J5" s="999">
        <f>H5/F5</f>
        <v>0.91559115851084794</v>
      </c>
      <c r="K5" s="1191"/>
      <c r="L5" s="432">
        <f>F5</f>
        <v>71074</v>
      </c>
      <c r="M5" s="332">
        <v>69359.600000000006</v>
      </c>
      <c r="N5" s="326">
        <f>L5-M5</f>
        <v>1714.3999999999942</v>
      </c>
      <c r="O5" s="419">
        <v>72872</v>
      </c>
      <c r="P5" s="332">
        <v>72872</v>
      </c>
      <c r="Q5" s="332">
        <v>72872</v>
      </c>
      <c r="R5" s="1449">
        <v>72872</v>
      </c>
      <c r="S5" s="432">
        <f>R5</f>
        <v>72872</v>
      </c>
      <c r="T5" s="432">
        <f>'[14]Summ by Dept'!$D$133</f>
        <v>72871.762000000017</v>
      </c>
      <c r="U5" s="432">
        <f>T5-S5</f>
        <v>-0.23799999998300336</v>
      </c>
      <c r="V5" s="1555">
        <v>72872</v>
      </c>
    </row>
    <row r="6" spans="1:22" ht="24.95" customHeight="1" thickBot="1" x14ac:dyDescent="0.35">
      <c r="A6" s="286" t="s">
        <v>54</v>
      </c>
      <c r="B6" s="842" t="s">
        <v>101</v>
      </c>
      <c r="C6" s="816">
        <v>45914</v>
      </c>
      <c r="D6" s="742">
        <v>44148.1</v>
      </c>
      <c r="E6" s="705">
        <f t="shared" ref="E6:E12" si="0">D6-C6</f>
        <v>-1765.9000000000015</v>
      </c>
      <c r="F6" s="1097">
        <v>45914</v>
      </c>
      <c r="G6" s="1133">
        <v>46349.11</v>
      </c>
      <c r="H6" s="124">
        <f>[7]Sheet1!$E$133</f>
        <v>34739.017999999996</v>
      </c>
      <c r="I6" s="1146">
        <f t="shared" ref="I6:I38" si="1">F6-H6</f>
        <v>11174.982000000004</v>
      </c>
      <c r="J6" s="1000">
        <f>H6/F6</f>
        <v>0.75661057629481199</v>
      </c>
      <c r="K6" s="1192"/>
      <c r="L6" s="1241">
        <f>F6</f>
        <v>45914</v>
      </c>
      <c r="M6" s="1110">
        <v>37037.97</v>
      </c>
      <c r="N6" s="188">
        <f>L6-M6</f>
        <v>8876.0299999999988</v>
      </c>
      <c r="O6" s="397">
        <v>50123</v>
      </c>
      <c r="P6" s="1110">
        <v>50123</v>
      </c>
      <c r="Q6" s="1110">
        <v>50123</v>
      </c>
      <c r="R6" s="76">
        <v>50123</v>
      </c>
      <c r="S6" s="345">
        <f>64709+1800</f>
        <v>66509</v>
      </c>
      <c r="T6" s="345">
        <f>'[14]Summ by Dept'!$E$133</f>
        <v>41641.362000000008</v>
      </c>
      <c r="U6" s="432">
        <f t="shared" ref="U6:U12" si="2">T6-S6</f>
        <v>-24867.637999999992</v>
      </c>
      <c r="V6" s="1555">
        <v>42193</v>
      </c>
    </row>
    <row r="7" spans="1:22" ht="24.95" customHeight="1" thickBot="1" x14ac:dyDescent="0.35">
      <c r="A7" s="331">
        <v>116</v>
      </c>
      <c r="B7" s="842" t="s">
        <v>592</v>
      </c>
      <c r="C7" s="816">
        <v>100</v>
      </c>
      <c r="D7" s="742"/>
      <c r="E7" s="705"/>
      <c r="F7" s="1097">
        <v>100</v>
      </c>
      <c r="G7" s="1097">
        <v>100</v>
      </c>
      <c r="H7" s="124"/>
      <c r="I7" s="1146">
        <f t="shared" si="1"/>
        <v>100</v>
      </c>
      <c r="J7" s="1000">
        <f t="shared" ref="J7:J38" si="3">H7/F7</f>
        <v>0</v>
      </c>
      <c r="K7" s="1192"/>
      <c r="L7" s="345">
        <v>100</v>
      </c>
      <c r="M7" s="333"/>
      <c r="N7" s="188">
        <f t="shared" ref="N7:N37" si="4">L7-M7</f>
        <v>100</v>
      </c>
      <c r="O7" s="335">
        <v>100</v>
      </c>
      <c r="P7" s="333"/>
      <c r="Q7" s="333"/>
      <c r="S7" s="345">
        <f t="shared" ref="S7:S37" si="5">R7</f>
        <v>0</v>
      </c>
      <c r="T7" s="345">
        <f>'[14]Summ by Dept'!$F$133</f>
        <v>9.19</v>
      </c>
      <c r="U7" s="432">
        <f t="shared" si="2"/>
        <v>9.19</v>
      </c>
      <c r="V7" s="1555">
        <v>10</v>
      </c>
    </row>
    <row r="8" spans="1:22" ht="24.95" customHeight="1" thickBot="1" x14ac:dyDescent="0.35">
      <c r="A8" s="286" t="s">
        <v>77</v>
      </c>
      <c r="B8" s="842" t="s">
        <v>125</v>
      </c>
      <c r="C8" s="816">
        <v>27000</v>
      </c>
      <c r="D8" s="742">
        <v>24750</v>
      </c>
      <c r="E8" s="705">
        <f t="shared" si="0"/>
        <v>-2250</v>
      </c>
      <c r="F8" s="1097">
        <v>27000</v>
      </c>
      <c r="G8" s="1097">
        <v>27000</v>
      </c>
      <c r="H8" s="124">
        <f>[7]Sheet1!$G$133</f>
        <v>22500</v>
      </c>
      <c r="I8" s="1146">
        <f t="shared" si="1"/>
        <v>4500</v>
      </c>
      <c r="J8" s="1000">
        <f t="shared" si="3"/>
        <v>0.83333333333333337</v>
      </c>
      <c r="K8" s="1192"/>
      <c r="L8" s="345">
        <f>F8</f>
        <v>27000</v>
      </c>
      <c r="M8" s="333">
        <v>19500</v>
      </c>
      <c r="N8" s="188">
        <f t="shared" si="4"/>
        <v>7500</v>
      </c>
      <c r="O8" s="335">
        <v>19500</v>
      </c>
      <c r="P8" s="333">
        <v>19500</v>
      </c>
      <c r="Q8" s="333">
        <v>19500</v>
      </c>
      <c r="R8" s="1449">
        <v>19500</v>
      </c>
      <c r="S8" s="345">
        <f t="shared" si="5"/>
        <v>19500</v>
      </c>
      <c r="T8" s="345">
        <v>19500</v>
      </c>
      <c r="U8" s="432">
        <f t="shared" si="2"/>
        <v>0</v>
      </c>
      <c r="V8" s="1555">
        <v>19500</v>
      </c>
    </row>
    <row r="9" spans="1:22" ht="24.95" customHeight="1" thickBot="1" x14ac:dyDescent="0.35">
      <c r="A9" s="286" t="s">
        <v>56</v>
      </c>
      <c r="B9" s="842" t="s">
        <v>103</v>
      </c>
      <c r="C9" s="816">
        <v>6581</v>
      </c>
      <c r="D9" s="742">
        <v>6589.44</v>
      </c>
      <c r="E9" s="705">
        <f t="shared" si="0"/>
        <v>8.4399999999995998</v>
      </c>
      <c r="F9" s="1097">
        <v>7347</v>
      </c>
      <c r="G9" s="1097">
        <v>7347</v>
      </c>
      <c r="H9" s="124">
        <f>[7]Sheet1!$H$133</f>
        <v>6012.5140000000001</v>
      </c>
      <c r="I9" s="1146">
        <f t="shared" si="1"/>
        <v>1334.4859999999999</v>
      </c>
      <c r="J9" s="1000">
        <f t="shared" si="3"/>
        <v>0.81836314141826594</v>
      </c>
      <c r="K9" s="1192"/>
      <c r="L9" s="345">
        <v>6503</v>
      </c>
      <c r="M9" s="333">
        <v>5860.39</v>
      </c>
      <c r="N9" s="188">
        <f t="shared" si="4"/>
        <v>642.60999999999967</v>
      </c>
      <c r="O9" s="335">
        <v>7737</v>
      </c>
      <c r="P9" s="333">
        <v>7737</v>
      </c>
      <c r="Q9" s="333">
        <v>7737</v>
      </c>
      <c r="R9" s="1449">
        <v>7737</v>
      </c>
      <c r="S9" s="345">
        <v>6577</v>
      </c>
      <c r="T9" s="345">
        <f>'[14]Summ by Dept'!$H$133</f>
        <v>5428.5429999999997</v>
      </c>
      <c r="U9" s="432">
        <f t="shared" si="2"/>
        <v>-1148.4570000000003</v>
      </c>
      <c r="V9" s="1555">
        <v>5006</v>
      </c>
    </row>
    <row r="10" spans="1:22" ht="24.95" customHeight="1" thickBot="1" x14ac:dyDescent="0.35">
      <c r="A10" s="286" t="s">
        <v>57</v>
      </c>
      <c r="B10" s="842" t="s">
        <v>104</v>
      </c>
      <c r="C10" s="816">
        <v>15256</v>
      </c>
      <c r="D10" s="742">
        <v>16858</v>
      </c>
      <c r="E10" s="705">
        <f t="shared" si="0"/>
        <v>1602</v>
      </c>
      <c r="F10" s="1097">
        <v>20160</v>
      </c>
      <c r="G10" s="1097">
        <v>20160</v>
      </c>
      <c r="H10" s="124">
        <f>[7]Sheet1!$I$133</f>
        <v>13053.732</v>
      </c>
      <c r="I10" s="1146">
        <f t="shared" si="1"/>
        <v>7106.268</v>
      </c>
      <c r="J10" s="1000">
        <f t="shared" si="3"/>
        <v>0.64750654761904758</v>
      </c>
      <c r="K10" s="1192"/>
      <c r="L10" s="345">
        <v>20520</v>
      </c>
      <c r="M10" s="333">
        <v>15522.96</v>
      </c>
      <c r="N10" s="188">
        <f t="shared" si="4"/>
        <v>4997.0400000000009</v>
      </c>
      <c r="O10" s="335">
        <v>21170</v>
      </c>
      <c r="P10" s="333">
        <v>21170</v>
      </c>
      <c r="Q10" s="333">
        <v>21170</v>
      </c>
      <c r="R10" s="76">
        <f>Q10</f>
        <v>21170</v>
      </c>
      <c r="S10" s="345">
        <v>37680</v>
      </c>
      <c r="T10" s="345">
        <f>'[14]Summ by Dept'!$I$133</f>
        <v>23279.890999999996</v>
      </c>
      <c r="U10" s="432">
        <f t="shared" si="2"/>
        <v>-14400.109000000004</v>
      </c>
      <c r="V10" s="1555">
        <v>29988</v>
      </c>
    </row>
    <row r="11" spans="1:22" ht="24.95" customHeight="1" thickBot="1" x14ac:dyDescent="0.35">
      <c r="A11" s="286" t="s">
        <v>58</v>
      </c>
      <c r="B11" s="842" t="s">
        <v>105</v>
      </c>
      <c r="C11" s="816">
        <v>250</v>
      </c>
      <c r="D11" s="742">
        <v>146</v>
      </c>
      <c r="E11" s="705">
        <f t="shared" si="0"/>
        <v>-104</v>
      </c>
      <c r="F11" s="1097">
        <v>180</v>
      </c>
      <c r="G11" s="1097">
        <v>180</v>
      </c>
      <c r="H11" s="124">
        <f>[7]Sheet1!$J$133</f>
        <v>131.75200000000001</v>
      </c>
      <c r="I11" s="1146">
        <f t="shared" si="1"/>
        <v>48.24799999999999</v>
      </c>
      <c r="J11" s="1000">
        <f t="shared" si="3"/>
        <v>0.73195555555555558</v>
      </c>
      <c r="K11" s="1192"/>
      <c r="L11" s="345">
        <v>180</v>
      </c>
      <c r="M11" s="333">
        <v>154.24</v>
      </c>
      <c r="N11" s="188">
        <f t="shared" si="4"/>
        <v>25.759999999999991</v>
      </c>
      <c r="O11" s="335">
        <v>180</v>
      </c>
      <c r="P11" s="333">
        <v>180</v>
      </c>
      <c r="Q11" s="333">
        <v>180</v>
      </c>
      <c r="R11" s="76">
        <v>180</v>
      </c>
      <c r="S11" s="345">
        <f t="shared" si="5"/>
        <v>180</v>
      </c>
      <c r="T11" s="345">
        <f>'[14]Summ by Dept'!$J$133</f>
        <v>457.66399999999999</v>
      </c>
      <c r="U11" s="432">
        <f t="shared" si="2"/>
        <v>277.66399999999999</v>
      </c>
      <c r="V11" s="1555">
        <v>460</v>
      </c>
    </row>
    <row r="12" spans="1:22" ht="24.95" customHeight="1" x14ac:dyDescent="0.3">
      <c r="A12" s="286" t="s">
        <v>59</v>
      </c>
      <c r="B12" s="842" t="s">
        <v>106</v>
      </c>
      <c r="C12" s="816">
        <v>8957</v>
      </c>
      <c r="D12" s="742">
        <v>7352.15</v>
      </c>
      <c r="E12" s="705">
        <f t="shared" si="0"/>
        <v>-1604.8500000000004</v>
      </c>
      <c r="F12" s="1097">
        <v>8950</v>
      </c>
      <c r="G12" s="1097">
        <v>8950</v>
      </c>
      <c r="H12" s="124">
        <f>[7]Sheet1!$K$133</f>
        <v>7144.0880000000006</v>
      </c>
      <c r="I12" s="1146">
        <f t="shared" si="1"/>
        <v>1805.9119999999994</v>
      </c>
      <c r="J12" s="1000">
        <f t="shared" si="3"/>
        <v>0.79822212290502803</v>
      </c>
      <c r="K12" s="1192"/>
      <c r="L12" s="345">
        <v>8958</v>
      </c>
      <c r="M12" s="333">
        <v>7715.12</v>
      </c>
      <c r="N12" s="188">
        <f t="shared" si="4"/>
        <v>1242.8800000000001</v>
      </c>
      <c r="O12" s="335">
        <v>9420</v>
      </c>
      <c r="P12" s="333">
        <v>9420</v>
      </c>
      <c r="Q12" s="333">
        <v>9420</v>
      </c>
      <c r="S12" s="345">
        <f>10525+276</f>
        <v>10801</v>
      </c>
      <c r="T12" s="345">
        <f>'[14]Summ by Dept'!$K$133</f>
        <v>8088.8600000000006</v>
      </c>
      <c r="U12" s="432">
        <f t="shared" si="2"/>
        <v>-2712.1399999999994</v>
      </c>
      <c r="V12" s="1555">
        <v>8737</v>
      </c>
    </row>
    <row r="13" spans="1:22" ht="24.95" customHeight="1" x14ac:dyDescent="0.3">
      <c r="A13" s="331">
        <v>141</v>
      </c>
      <c r="B13" s="259" t="s">
        <v>684</v>
      </c>
      <c r="C13" s="816"/>
      <c r="D13" s="742"/>
      <c r="E13" s="705"/>
      <c r="F13" s="1097"/>
      <c r="G13" s="1097"/>
      <c r="H13" s="124"/>
      <c r="I13" s="1146">
        <f t="shared" si="1"/>
        <v>0</v>
      </c>
      <c r="J13" s="1000"/>
      <c r="K13" s="1192"/>
      <c r="L13" s="345"/>
      <c r="M13" s="333"/>
      <c r="N13" s="188">
        <f t="shared" si="4"/>
        <v>0</v>
      </c>
      <c r="O13" s="335"/>
      <c r="P13" s="333"/>
      <c r="Q13" s="333"/>
      <c r="S13" s="345">
        <f t="shared" si="5"/>
        <v>0</v>
      </c>
      <c r="T13" s="430"/>
      <c r="U13" s="430"/>
      <c r="V13" s="1555"/>
    </row>
    <row r="14" spans="1:22" ht="24.95" customHeight="1" x14ac:dyDescent="0.3">
      <c r="A14" s="331">
        <v>156</v>
      </c>
      <c r="B14" s="842" t="s">
        <v>638</v>
      </c>
      <c r="C14" s="816"/>
      <c r="D14" s="742"/>
      <c r="E14" s="705"/>
      <c r="F14" s="1097"/>
      <c r="G14" s="1097"/>
      <c r="H14" s="124"/>
      <c r="I14" s="1146">
        <f t="shared" si="1"/>
        <v>0</v>
      </c>
      <c r="J14" s="1000"/>
      <c r="K14" s="1192"/>
      <c r="L14" s="345"/>
      <c r="M14" s="333"/>
      <c r="N14" s="188">
        <f t="shared" si="4"/>
        <v>0</v>
      </c>
      <c r="O14" s="335"/>
      <c r="P14" s="333"/>
      <c r="Q14" s="333"/>
      <c r="S14" s="345">
        <f t="shared" si="5"/>
        <v>0</v>
      </c>
      <c r="T14" s="430"/>
      <c r="U14" s="430"/>
      <c r="V14" s="1555"/>
    </row>
    <row r="15" spans="1:22" ht="24.95" customHeight="1" thickBot="1" x14ac:dyDescent="0.35">
      <c r="A15" s="286" t="s">
        <v>309</v>
      </c>
      <c r="B15" s="842" t="s">
        <v>310</v>
      </c>
      <c r="C15" s="816"/>
      <c r="D15" s="742"/>
      <c r="E15" s="705"/>
      <c r="F15" s="1097"/>
      <c r="G15" s="1097"/>
      <c r="H15" s="124"/>
      <c r="I15" s="1146">
        <f t="shared" si="1"/>
        <v>0</v>
      </c>
      <c r="J15" s="1000"/>
      <c r="K15" s="1192"/>
      <c r="L15" s="345"/>
      <c r="M15" s="333"/>
      <c r="N15" s="188">
        <f t="shared" si="4"/>
        <v>0</v>
      </c>
      <c r="O15" s="335"/>
      <c r="P15" s="333"/>
      <c r="Q15" s="333"/>
      <c r="S15" s="345">
        <f t="shared" si="5"/>
        <v>0</v>
      </c>
      <c r="T15" s="430"/>
      <c r="U15" s="430"/>
      <c r="V15" s="1555"/>
    </row>
    <row r="16" spans="1:22" ht="24.95" customHeight="1" thickBot="1" x14ac:dyDescent="0.35">
      <c r="A16" s="277" t="s">
        <v>510</v>
      </c>
      <c r="B16" s="632" t="s">
        <v>511</v>
      </c>
      <c r="C16" s="816"/>
      <c r="D16" s="742"/>
      <c r="E16" s="705"/>
      <c r="F16" s="1097"/>
      <c r="G16" s="1097"/>
      <c r="H16" s="124"/>
      <c r="I16" s="1146">
        <f t="shared" si="1"/>
        <v>0</v>
      </c>
      <c r="J16" s="1000"/>
      <c r="K16" s="1192"/>
      <c r="L16" s="345"/>
      <c r="M16" s="333"/>
      <c r="N16" s="188">
        <f t="shared" si="4"/>
        <v>0</v>
      </c>
      <c r="O16" s="335"/>
      <c r="P16" s="333"/>
      <c r="Q16" s="1560">
        <v>36782</v>
      </c>
      <c r="R16">
        <v>36782</v>
      </c>
      <c r="S16" s="345">
        <f t="shared" si="5"/>
        <v>36782</v>
      </c>
      <c r="T16" s="345">
        <f>'[14]Summ by Dept'!$X$133</f>
        <v>39172.040000000008</v>
      </c>
      <c r="U16" s="432">
        <f t="shared" ref="U16:U22" si="6">T16-S16</f>
        <v>2390.0400000000081</v>
      </c>
      <c r="V16" s="1555">
        <f>39200+12984</f>
        <v>52184</v>
      </c>
    </row>
    <row r="17" spans="1:22" ht="24.95" customHeight="1" thickBot="1" x14ac:dyDescent="0.35">
      <c r="A17" s="286" t="s">
        <v>60</v>
      </c>
      <c r="B17" s="842" t="s">
        <v>92</v>
      </c>
      <c r="C17" s="816">
        <v>750</v>
      </c>
      <c r="D17" s="742">
        <v>750</v>
      </c>
      <c r="E17" s="705">
        <f>D17-C17</f>
        <v>0</v>
      </c>
      <c r="F17" s="1097">
        <v>750</v>
      </c>
      <c r="G17" s="1097">
        <v>750</v>
      </c>
      <c r="H17" s="124">
        <f>[7]Sheet1!$AD$133</f>
        <v>750</v>
      </c>
      <c r="I17" s="1146">
        <f t="shared" si="1"/>
        <v>0</v>
      </c>
      <c r="J17" s="1000">
        <f t="shared" si="3"/>
        <v>1</v>
      </c>
      <c r="K17" s="1192"/>
      <c r="L17" s="345">
        <v>750</v>
      </c>
      <c r="M17" s="333">
        <v>750</v>
      </c>
      <c r="N17" s="188">
        <f t="shared" si="4"/>
        <v>0</v>
      </c>
      <c r="O17" s="335">
        <v>750</v>
      </c>
      <c r="P17" s="333">
        <v>750</v>
      </c>
      <c r="Q17" s="333">
        <v>750</v>
      </c>
      <c r="R17" s="1449">
        <v>750</v>
      </c>
      <c r="S17" s="345">
        <f t="shared" si="5"/>
        <v>750</v>
      </c>
      <c r="T17" s="345">
        <f>'[14]Summ by Dept'!$AD$133</f>
        <v>750</v>
      </c>
      <c r="U17" s="432">
        <f t="shared" si="6"/>
        <v>0</v>
      </c>
      <c r="V17" s="1555">
        <v>750</v>
      </c>
    </row>
    <row r="18" spans="1:22" ht="24.95" customHeight="1" thickBot="1" x14ac:dyDescent="0.35">
      <c r="A18" s="287" t="s">
        <v>166</v>
      </c>
      <c r="B18" s="842" t="s">
        <v>312</v>
      </c>
      <c r="C18" s="816"/>
      <c r="D18" s="742"/>
      <c r="E18" s="705"/>
      <c r="F18" s="1097"/>
      <c r="G18" s="1097"/>
      <c r="H18" s="124"/>
      <c r="I18" s="1146">
        <f t="shared" si="1"/>
        <v>0</v>
      </c>
      <c r="J18" s="1000"/>
      <c r="K18" s="1192"/>
      <c r="L18" s="345"/>
      <c r="M18" s="333"/>
      <c r="N18" s="188">
        <f t="shared" si="4"/>
        <v>0</v>
      </c>
      <c r="O18" s="335"/>
      <c r="P18" s="333"/>
      <c r="Q18" s="333"/>
      <c r="S18" s="345">
        <f t="shared" si="5"/>
        <v>0</v>
      </c>
      <c r="T18" s="345">
        <f>'[14]Summ by Dept'!$AM$133</f>
        <v>288.89999999999998</v>
      </c>
      <c r="U18" s="432">
        <f t="shared" si="6"/>
        <v>288.89999999999998</v>
      </c>
      <c r="V18" s="1555">
        <v>0</v>
      </c>
    </row>
    <row r="19" spans="1:22" ht="24.95" customHeight="1" x14ac:dyDescent="0.3">
      <c r="A19" s="286" t="s">
        <v>61</v>
      </c>
      <c r="B19" s="842" t="s">
        <v>107</v>
      </c>
      <c r="C19" s="816">
        <v>1000</v>
      </c>
      <c r="D19" s="742">
        <v>1155.3</v>
      </c>
      <c r="E19" s="705">
        <f t="shared" ref="E19:E37" si="7">D19-C19</f>
        <v>155.29999999999995</v>
      </c>
      <c r="F19" s="1097">
        <v>1000</v>
      </c>
      <c r="G19" s="1097">
        <v>1000</v>
      </c>
      <c r="H19" s="124">
        <f>[7]Sheet1!$AS$133</f>
        <v>570.67999999999995</v>
      </c>
      <c r="I19" s="1146">
        <f t="shared" si="1"/>
        <v>429.32000000000005</v>
      </c>
      <c r="J19" s="1000">
        <f t="shared" si="3"/>
        <v>0.57067999999999997</v>
      </c>
      <c r="K19" s="1192"/>
      <c r="L19" s="345">
        <v>800</v>
      </c>
      <c r="M19" s="333">
        <f>1667.62+58</f>
        <v>1725.62</v>
      </c>
      <c r="N19" s="188">
        <f t="shared" si="4"/>
        <v>-925.61999999999989</v>
      </c>
      <c r="O19" s="335">
        <v>800</v>
      </c>
      <c r="P19" s="333">
        <v>800</v>
      </c>
      <c r="Q19" s="333">
        <v>800</v>
      </c>
      <c r="R19" s="1449">
        <v>1015</v>
      </c>
      <c r="S19" s="345">
        <v>1000</v>
      </c>
      <c r="T19" s="345">
        <f>'[14]Summ by Dept'!$AS$133</f>
        <v>1316.3899999999999</v>
      </c>
      <c r="U19" s="432">
        <f t="shared" si="6"/>
        <v>316.38999999999987</v>
      </c>
      <c r="V19" s="1555">
        <v>1000</v>
      </c>
    </row>
    <row r="20" spans="1:22" ht="24.95" customHeight="1" thickBot="1" x14ac:dyDescent="0.35">
      <c r="A20" s="286" t="s">
        <v>88</v>
      </c>
      <c r="B20" s="842" t="s">
        <v>313</v>
      </c>
      <c r="C20" s="816"/>
      <c r="D20" s="742"/>
      <c r="E20" s="705">
        <f t="shared" si="7"/>
        <v>0</v>
      </c>
      <c r="F20" s="1097"/>
      <c r="G20" s="1097"/>
      <c r="H20" s="124"/>
      <c r="I20" s="1146">
        <f t="shared" si="1"/>
        <v>0</v>
      </c>
      <c r="J20" s="1000"/>
      <c r="K20" s="1192"/>
      <c r="L20" s="345"/>
      <c r="M20" s="333"/>
      <c r="N20" s="188">
        <f t="shared" si="4"/>
        <v>0</v>
      </c>
      <c r="O20" s="335"/>
      <c r="P20" s="333"/>
      <c r="Q20" s="333"/>
      <c r="S20" s="345">
        <f t="shared" si="5"/>
        <v>0</v>
      </c>
      <c r="T20" s="430"/>
      <c r="U20" s="430"/>
      <c r="V20" s="1555"/>
    </row>
    <row r="21" spans="1:22" ht="24.95" customHeight="1" thickBot="1" x14ac:dyDescent="0.35">
      <c r="A21" s="286" t="s">
        <v>62</v>
      </c>
      <c r="B21" s="842" t="s">
        <v>108</v>
      </c>
      <c r="C21" s="816">
        <v>0</v>
      </c>
      <c r="D21" s="742">
        <v>9.85</v>
      </c>
      <c r="E21" s="705">
        <f t="shared" si="7"/>
        <v>9.85</v>
      </c>
      <c r="F21" s="1097"/>
      <c r="G21" s="1097"/>
      <c r="H21" s="124"/>
      <c r="I21" s="1146">
        <f t="shared" si="1"/>
        <v>0</v>
      </c>
      <c r="J21" s="1000"/>
      <c r="K21" s="1192"/>
      <c r="L21" s="345"/>
      <c r="M21" s="333"/>
      <c r="N21" s="188">
        <f t="shared" si="4"/>
        <v>0</v>
      </c>
      <c r="O21" s="335"/>
      <c r="P21" s="333"/>
      <c r="Q21" s="333"/>
      <c r="S21" s="345">
        <f t="shared" si="5"/>
        <v>0</v>
      </c>
      <c r="T21" s="345">
        <f>'[14]Summ by Dept'!$AZ$133</f>
        <v>197.82</v>
      </c>
      <c r="U21" s="432">
        <f t="shared" si="6"/>
        <v>197.82</v>
      </c>
      <c r="V21" s="1555">
        <v>200</v>
      </c>
    </row>
    <row r="22" spans="1:22" ht="24.95" customHeight="1" x14ac:dyDescent="0.3">
      <c r="A22" s="286" t="s">
        <v>314</v>
      </c>
      <c r="B22" s="842" t="s">
        <v>358</v>
      </c>
      <c r="C22" s="816">
        <v>1380</v>
      </c>
      <c r="D22" s="742">
        <v>2502.33</v>
      </c>
      <c r="E22" s="705">
        <f t="shared" si="7"/>
        <v>1122.33</v>
      </c>
      <c r="F22" s="1097">
        <v>1900</v>
      </c>
      <c r="G22" s="1097">
        <v>1900</v>
      </c>
      <c r="H22" s="124">
        <f>[7]Sheet1!$BA$133</f>
        <v>2232.58</v>
      </c>
      <c r="I22" s="1146">
        <f t="shared" si="1"/>
        <v>-332.57999999999993</v>
      </c>
      <c r="J22" s="1000">
        <f t="shared" si="3"/>
        <v>1.1750421052631579</v>
      </c>
      <c r="K22" s="1192"/>
      <c r="L22" s="345">
        <v>2200</v>
      </c>
      <c r="M22" s="333">
        <v>2829.24</v>
      </c>
      <c r="N22" s="188">
        <f t="shared" si="4"/>
        <v>-629.23999999999978</v>
      </c>
      <c r="O22" s="335">
        <v>2200</v>
      </c>
      <c r="P22" s="333">
        <v>2200</v>
      </c>
      <c r="Q22" s="333">
        <v>2200</v>
      </c>
      <c r="R22" s="1449">
        <v>2400</v>
      </c>
      <c r="S22" s="345">
        <f t="shared" si="5"/>
        <v>2400</v>
      </c>
      <c r="T22" s="345">
        <f>'[14]Summ by Dept'!$BA$133</f>
        <v>847.12</v>
      </c>
      <c r="U22" s="432">
        <f t="shared" si="6"/>
        <v>-1552.88</v>
      </c>
      <c r="V22" s="1555">
        <v>850</v>
      </c>
    </row>
    <row r="23" spans="1:22" ht="24.95" customHeight="1" x14ac:dyDescent="0.3">
      <c r="A23" s="286" t="s">
        <v>89</v>
      </c>
      <c r="B23" s="842" t="s">
        <v>379</v>
      </c>
      <c r="C23" s="816"/>
      <c r="D23" s="742"/>
      <c r="E23" s="705">
        <f t="shared" si="7"/>
        <v>0</v>
      </c>
      <c r="F23" s="1097"/>
      <c r="G23" s="1097"/>
      <c r="H23" s="124"/>
      <c r="I23" s="1146">
        <f t="shared" si="1"/>
        <v>0</v>
      </c>
      <c r="J23" s="1000"/>
      <c r="K23" s="1192"/>
      <c r="L23" s="345"/>
      <c r="M23" s="333"/>
      <c r="N23" s="188">
        <f t="shared" si="4"/>
        <v>0</v>
      </c>
      <c r="O23" s="335"/>
      <c r="P23" s="333"/>
      <c r="Q23" s="333"/>
      <c r="S23" s="345">
        <f t="shared" si="5"/>
        <v>0</v>
      </c>
      <c r="T23" s="430"/>
      <c r="U23" s="430"/>
      <c r="V23" s="1555"/>
    </row>
    <row r="24" spans="1:22" ht="24.95" customHeight="1" x14ac:dyDescent="0.3">
      <c r="A24" s="286" t="s">
        <v>63</v>
      </c>
      <c r="B24" s="842" t="s">
        <v>121</v>
      </c>
      <c r="C24" s="816">
        <v>0</v>
      </c>
      <c r="D24" s="742"/>
      <c r="E24" s="705">
        <f t="shared" si="7"/>
        <v>0</v>
      </c>
      <c r="F24" s="1097"/>
      <c r="G24" s="1097"/>
      <c r="H24" s="124"/>
      <c r="I24" s="1146">
        <f t="shared" si="1"/>
        <v>0</v>
      </c>
      <c r="J24" s="1000"/>
      <c r="K24" s="1192"/>
      <c r="L24" s="345"/>
      <c r="M24" s="333"/>
      <c r="N24" s="188">
        <f t="shared" si="4"/>
        <v>0</v>
      </c>
      <c r="O24" s="335"/>
      <c r="P24" s="333"/>
      <c r="Q24" s="333"/>
      <c r="S24" s="345">
        <f t="shared" si="5"/>
        <v>0</v>
      </c>
      <c r="T24" s="430"/>
      <c r="U24" s="430"/>
      <c r="V24" s="1555"/>
    </row>
    <row r="25" spans="1:22" s="62" customFormat="1" ht="24.95" customHeight="1" x14ac:dyDescent="0.3">
      <c r="A25" s="287" t="s">
        <v>64</v>
      </c>
      <c r="B25" s="259" t="s">
        <v>122</v>
      </c>
      <c r="C25" s="923"/>
      <c r="D25" s="742"/>
      <c r="E25" s="705">
        <f t="shared" si="7"/>
        <v>0</v>
      </c>
      <c r="F25" s="1131"/>
      <c r="G25" s="1131"/>
      <c r="H25" s="124"/>
      <c r="I25" s="1146">
        <f t="shared" si="1"/>
        <v>0</v>
      </c>
      <c r="J25" s="1000"/>
      <c r="K25" s="1192"/>
      <c r="L25" s="433"/>
      <c r="M25" s="1110"/>
      <c r="N25" s="188">
        <f t="shared" si="4"/>
        <v>0</v>
      </c>
      <c r="O25" s="397"/>
      <c r="P25" s="1110"/>
      <c r="Q25" s="1110"/>
      <c r="S25" s="345">
        <f t="shared" si="5"/>
        <v>0</v>
      </c>
      <c r="T25" s="964"/>
      <c r="U25" s="964"/>
      <c r="V25" s="1555"/>
    </row>
    <row r="26" spans="1:22" s="62" customFormat="1" ht="24.95" customHeight="1" thickBot="1" x14ac:dyDescent="0.35">
      <c r="A26" s="277" t="s">
        <v>304</v>
      </c>
      <c r="B26" s="259" t="s">
        <v>316</v>
      </c>
      <c r="C26" s="923"/>
      <c r="D26" s="742"/>
      <c r="E26" s="705">
        <f t="shared" si="7"/>
        <v>0</v>
      </c>
      <c r="F26" s="1131"/>
      <c r="G26" s="1131"/>
      <c r="H26" s="124"/>
      <c r="I26" s="1146">
        <f t="shared" si="1"/>
        <v>0</v>
      </c>
      <c r="J26" s="1000"/>
      <c r="K26" s="1192"/>
      <c r="L26" s="433"/>
      <c r="M26" s="1110"/>
      <c r="N26" s="188">
        <f t="shared" si="4"/>
        <v>0</v>
      </c>
      <c r="O26" s="397"/>
      <c r="P26" s="1110"/>
      <c r="Q26" s="1110"/>
      <c r="S26" s="345">
        <f t="shared" si="5"/>
        <v>0</v>
      </c>
      <c r="T26" s="964"/>
      <c r="U26" s="964"/>
      <c r="V26" s="1555"/>
    </row>
    <row r="27" spans="1:22" s="62" customFormat="1" ht="24.95" customHeight="1" thickBot="1" x14ac:dyDescent="0.35">
      <c r="A27" s="287" t="s">
        <v>66</v>
      </c>
      <c r="B27" s="257" t="s">
        <v>98</v>
      </c>
      <c r="C27" s="923">
        <v>700</v>
      </c>
      <c r="D27" s="742">
        <v>745.86</v>
      </c>
      <c r="E27" s="705">
        <f t="shared" si="7"/>
        <v>45.860000000000014</v>
      </c>
      <c r="F27" s="1131">
        <v>750</v>
      </c>
      <c r="G27" s="1131">
        <v>750</v>
      </c>
      <c r="H27" s="124">
        <f>[7]Sheet1!$BN$133</f>
        <v>837.63000000000011</v>
      </c>
      <c r="I27" s="1146">
        <f t="shared" si="1"/>
        <v>-87.630000000000109</v>
      </c>
      <c r="J27" s="1000">
        <f t="shared" si="3"/>
        <v>1.1168400000000001</v>
      </c>
      <c r="K27" s="1192">
        <v>600</v>
      </c>
      <c r="L27" s="433">
        <v>700</v>
      </c>
      <c r="M27" s="1110">
        <v>811.67</v>
      </c>
      <c r="N27" s="188">
        <f t="shared" si="4"/>
        <v>-111.66999999999996</v>
      </c>
      <c r="O27" s="397">
        <v>700</v>
      </c>
      <c r="P27" s="1110">
        <v>700</v>
      </c>
      <c r="Q27" s="1110">
        <v>700</v>
      </c>
      <c r="R27" s="1449">
        <v>449.16</v>
      </c>
      <c r="S27" s="345">
        <v>450</v>
      </c>
      <c r="T27" s="433">
        <f>'[14]Summ by Dept'!$BN$133</f>
        <v>277.07</v>
      </c>
      <c r="U27" s="432">
        <f t="shared" ref="U27:U32" si="8">T27-S27</f>
        <v>-172.93</v>
      </c>
      <c r="V27" s="1555">
        <v>278</v>
      </c>
    </row>
    <row r="28" spans="1:22" s="62" customFormat="1" ht="24.95" customHeight="1" thickBot="1" x14ac:dyDescent="0.35">
      <c r="A28" s="287" t="s">
        <v>67</v>
      </c>
      <c r="B28" s="257" t="s">
        <v>113</v>
      </c>
      <c r="C28" s="923">
        <v>1000</v>
      </c>
      <c r="D28" s="742">
        <v>629.34</v>
      </c>
      <c r="E28" s="705">
        <f t="shared" si="7"/>
        <v>-370.65999999999997</v>
      </c>
      <c r="F28" s="1131">
        <v>650</v>
      </c>
      <c r="G28" s="1131">
        <v>650</v>
      </c>
      <c r="H28" s="124">
        <f>[7]Sheet1!$BO$133</f>
        <v>5050.08</v>
      </c>
      <c r="I28" s="1146">
        <f t="shared" si="1"/>
        <v>-4400.08</v>
      </c>
      <c r="J28" s="1000">
        <f t="shared" si="3"/>
        <v>7.7693538461538463</v>
      </c>
      <c r="K28" s="1192">
        <v>5000</v>
      </c>
      <c r="L28" s="433">
        <v>5000</v>
      </c>
      <c r="M28" s="1110">
        <v>2009.2</v>
      </c>
      <c r="N28" s="188">
        <f t="shared" si="4"/>
        <v>2990.8</v>
      </c>
      <c r="O28" s="397">
        <v>4000</v>
      </c>
      <c r="P28" s="1110">
        <v>4000</v>
      </c>
      <c r="Q28" s="1110">
        <v>2000</v>
      </c>
      <c r="R28" s="1449">
        <v>2558</v>
      </c>
      <c r="S28" s="345">
        <v>2600</v>
      </c>
      <c r="T28" s="433">
        <f>'[14]Summ by Dept'!$BO$133</f>
        <v>202.76999999999998</v>
      </c>
      <c r="U28" s="432">
        <f t="shared" si="8"/>
        <v>-2397.23</v>
      </c>
      <c r="V28" s="1555">
        <v>203</v>
      </c>
    </row>
    <row r="29" spans="1:22" s="62" customFormat="1" ht="24.95" customHeight="1" thickBot="1" x14ac:dyDescent="0.35">
      <c r="A29" s="287" t="s">
        <v>68</v>
      </c>
      <c r="B29" s="257" t="s">
        <v>590</v>
      </c>
      <c r="C29" s="923">
        <v>0</v>
      </c>
      <c r="D29" s="742"/>
      <c r="E29" s="705">
        <f t="shared" si="7"/>
        <v>0</v>
      </c>
      <c r="F29" s="1131"/>
      <c r="G29" s="1131"/>
      <c r="H29" s="124">
        <f>[7]Sheet1!$BP$133</f>
        <v>4724.4799999999996</v>
      </c>
      <c r="I29" s="1146">
        <f t="shared" si="1"/>
        <v>-4724.4799999999996</v>
      </c>
      <c r="J29" s="1000"/>
      <c r="K29" s="1192">
        <v>5000</v>
      </c>
      <c r="L29" s="433">
        <v>4500</v>
      </c>
      <c r="M29" s="1110"/>
      <c r="N29" s="188">
        <f t="shared" si="4"/>
        <v>4500</v>
      </c>
      <c r="O29" s="397">
        <v>4500</v>
      </c>
      <c r="P29" s="1110"/>
      <c r="Q29" s="1110"/>
      <c r="S29" s="345">
        <f t="shared" si="5"/>
        <v>0</v>
      </c>
      <c r="T29" s="433">
        <f>'[14]Summ by Dept'!$BP$133</f>
        <v>2715</v>
      </c>
      <c r="U29" s="432">
        <f t="shared" si="8"/>
        <v>2715</v>
      </c>
      <c r="V29" s="1555">
        <v>2715</v>
      </c>
    </row>
    <row r="30" spans="1:22" s="62" customFormat="1" ht="24.95" customHeight="1" thickBot="1" x14ac:dyDescent="0.35">
      <c r="A30" s="287" t="s">
        <v>69</v>
      </c>
      <c r="B30" s="257" t="s">
        <v>325</v>
      </c>
      <c r="C30" s="923">
        <v>400</v>
      </c>
      <c r="D30" s="742">
        <v>141.26</v>
      </c>
      <c r="E30" s="705">
        <f t="shared" si="7"/>
        <v>-258.74</v>
      </c>
      <c r="F30" s="1131">
        <v>150</v>
      </c>
      <c r="G30" s="1131">
        <v>150</v>
      </c>
      <c r="H30" s="124"/>
      <c r="I30" s="1146">
        <f t="shared" si="1"/>
        <v>150</v>
      </c>
      <c r="J30" s="1000">
        <f t="shared" si="3"/>
        <v>0</v>
      </c>
      <c r="K30" s="1192">
        <v>500</v>
      </c>
      <c r="L30" s="433">
        <v>150</v>
      </c>
      <c r="M30" s="1110">
        <v>293.76</v>
      </c>
      <c r="N30" s="188">
        <f t="shared" si="4"/>
        <v>-143.76</v>
      </c>
      <c r="O30" s="397">
        <v>300</v>
      </c>
      <c r="P30" s="1110"/>
      <c r="Q30" s="1110"/>
      <c r="S30" s="345">
        <f t="shared" si="5"/>
        <v>0</v>
      </c>
      <c r="T30" s="433">
        <f>'[14]Summ by Dept'!$BT$133</f>
        <v>340.2</v>
      </c>
      <c r="U30" s="432">
        <f t="shared" si="8"/>
        <v>340.2</v>
      </c>
      <c r="V30" s="1555">
        <v>340</v>
      </c>
    </row>
    <row r="31" spans="1:22" s="62" customFormat="1" ht="24.95" customHeight="1" thickBot="1" x14ac:dyDescent="0.35">
      <c r="A31" s="287" t="s">
        <v>70</v>
      </c>
      <c r="B31" s="257" t="s">
        <v>115</v>
      </c>
      <c r="C31" s="923">
        <v>500</v>
      </c>
      <c r="D31" s="742"/>
      <c r="E31" s="705">
        <f t="shared" si="7"/>
        <v>-500</v>
      </c>
      <c r="F31" s="1131"/>
      <c r="G31" s="1131"/>
      <c r="H31" s="124"/>
      <c r="I31" s="1146">
        <f t="shared" si="1"/>
        <v>0</v>
      </c>
      <c r="J31" s="1000"/>
      <c r="K31" s="1192"/>
      <c r="L31" s="433"/>
      <c r="M31" s="1110">
        <v>47.09</v>
      </c>
      <c r="N31" s="188">
        <f t="shared" si="4"/>
        <v>-47.09</v>
      </c>
      <c r="O31" s="397">
        <v>100</v>
      </c>
      <c r="P31" s="1110"/>
      <c r="Q31" s="1110"/>
      <c r="S31" s="345">
        <f t="shared" si="5"/>
        <v>0</v>
      </c>
      <c r="T31" s="433">
        <f>'[14]Summ by Dept'!$BV$133</f>
        <v>957.5</v>
      </c>
      <c r="U31" s="432">
        <f t="shared" si="8"/>
        <v>957.5</v>
      </c>
      <c r="V31" s="1555">
        <v>958</v>
      </c>
    </row>
    <row r="32" spans="1:22" s="62" customFormat="1" ht="24.95" customHeight="1" x14ac:dyDescent="0.3">
      <c r="A32" s="287" t="s">
        <v>71</v>
      </c>
      <c r="B32" s="257" t="s">
        <v>116</v>
      </c>
      <c r="C32" s="923">
        <v>400</v>
      </c>
      <c r="D32" s="742">
        <v>400</v>
      </c>
      <c r="E32" s="705">
        <f t="shared" si="7"/>
        <v>0</v>
      </c>
      <c r="F32" s="1131">
        <v>400</v>
      </c>
      <c r="G32" s="1131">
        <v>400</v>
      </c>
      <c r="H32" s="124">
        <f>[7]Sheet1!$BW$133</f>
        <v>225</v>
      </c>
      <c r="I32" s="1146">
        <f t="shared" si="1"/>
        <v>175</v>
      </c>
      <c r="J32" s="1000">
        <f t="shared" si="3"/>
        <v>0.5625</v>
      </c>
      <c r="K32" s="1192">
        <v>400</v>
      </c>
      <c r="L32" s="433">
        <v>225</v>
      </c>
      <c r="M32" s="1110">
        <v>1075</v>
      </c>
      <c r="N32" s="188">
        <f t="shared" si="4"/>
        <v>-850</v>
      </c>
      <c r="O32" s="397">
        <v>450</v>
      </c>
      <c r="P32" s="1110"/>
      <c r="Q32" s="1110"/>
      <c r="S32" s="345">
        <f t="shared" si="5"/>
        <v>0</v>
      </c>
      <c r="T32" s="433">
        <f>'[14]Summ by Dept'!$BW$133</f>
        <v>800</v>
      </c>
      <c r="U32" s="432">
        <f t="shared" si="8"/>
        <v>800</v>
      </c>
      <c r="V32" s="1555">
        <v>800</v>
      </c>
    </row>
    <row r="33" spans="1:22" s="62" customFormat="1" ht="24.95" customHeight="1" x14ac:dyDescent="0.3">
      <c r="A33" s="396">
        <v>269</v>
      </c>
      <c r="B33" s="257" t="s">
        <v>652</v>
      </c>
      <c r="C33" s="923">
        <v>0</v>
      </c>
      <c r="D33" s="742"/>
      <c r="E33" s="705">
        <f t="shared" si="7"/>
        <v>0</v>
      </c>
      <c r="F33" s="1131"/>
      <c r="G33" s="1131"/>
      <c r="H33" s="124"/>
      <c r="I33" s="1146">
        <f t="shared" si="1"/>
        <v>0</v>
      </c>
      <c r="J33" s="1000"/>
      <c r="K33" s="1192"/>
      <c r="L33" s="433"/>
      <c r="M33" s="1110"/>
      <c r="N33" s="188">
        <f t="shared" si="4"/>
        <v>0</v>
      </c>
      <c r="O33" s="397"/>
      <c r="P33" s="1110"/>
      <c r="Q33" s="1110"/>
      <c r="S33" s="345">
        <f t="shared" si="5"/>
        <v>0</v>
      </c>
      <c r="T33" s="964"/>
      <c r="U33" s="964"/>
      <c r="V33" s="1555"/>
    </row>
    <row r="34" spans="1:22" ht="24.95" customHeight="1" thickBot="1" x14ac:dyDescent="0.35">
      <c r="A34" s="286" t="s">
        <v>317</v>
      </c>
      <c r="B34" s="842" t="s">
        <v>318</v>
      </c>
      <c r="C34" s="816"/>
      <c r="D34" s="742"/>
      <c r="E34" s="705">
        <f t="shared" si="7"/>
        <v>0</v>
      </c>
      <c r="F34" s="1097"/>
      <c r="G34" s="1097"/>
      <c r="H34" s="124"/>
      <c r="I34" s="1146">
        <f t="shared" si="1"/>
        <v>0</v>
      </c>
      <c r="J34" s="1000"/>
      <c r="K34" s="1192"/>
      <c r="L34" s="345"/>
      <c r="M34" s="333"/>
      <c r="N34" s="188">
        <f t="shared" si="4"/>
        <v>0</v>
      </c>
      <c r="O34" s="335"/>
      <c r="P34" s="333"/>
      <c r="Q34" s="333"/>
      <c r="S34" s="345">
        <f t="shared" si="5"/>
        <v>0</v>
      </c>
      <c r="T34" s="430"/>
      <c r="U34" s="430"/>
      <c r="V34" s="1555"/>
    </row>
    <row r="35" spans="1:22" ht="24.95" customHeight="1" x14ac:dyDescent="0.3">
      <c r="A35" s="286" t="s">
        <v>73</v>
      </c>
      <c r="B35" s="842" t="s">
        <v>118</v>
      </c>
      <c r="C35" s="816">
        <v>0</v>
      </c>
      <c r="D35" s="742"/>
      <c r="E35" s="705">
        <f t="shared" si="7"/>
        <v>0</v>
      </c>
      <c r="F35" s="1097">
        <v>0</v>
      </c>
      <c r="G35" s="1097">
        <v>0</v>
      </c>
      <c r="H35" s="124">
        <f>[7]Sheet1!$CA$133</f>
        <v>100.68</v>
      </c>
      <c r="I35" s="1146">
        <f t="shared" si="1"/>
        <v>-100.68</v>
      </c>
      <c r="J35" s="1000"/>
      <c r="K35" s="1192">
        <v>200</v>
      </c>
      <c r="L35" s="345">
        <v>200</v>
      </c>
      <c r="M35" s="333">
        <v>350</v>
      </c>
      <c r="N35" s="188">
        <f t="shared" si="4"/>
        <v>-150</v>
      </c>
      <c r="O35" s="335">
        <v>350</v>
      </c>
      <c r="P35" s="333">
        <v>350</v>
      </c>
      <c r="Q35" s="333">
        <v>350</v>
      </c>
      <c r="R35" s="1449">
        <v>350</v>
      </c>
      <c r="S35" s="345">
        <f t="shared" si="5"/>
        <v>350</v>
      </c>
      <c r="T35" s="345">
        <f>'[14]Summ by Dept'!$CA$133</f>
        <v>700</v>
      </c>
      <c r="U35" s="432">
        <f t="shared" ref="U35:U37" si="9">T35-S35</f>
        <v>350</v>
      </c>
      <c r="V35" s="1555">
        <v>700</v>
      </c>
    </row>
    <row r="36" spans="1:22" ht="24.95" customHeight="1" thickBot="1" x14ac:dyDescent="0.35">
      <c r="A36" s="286" t="s">
        <v>123</v>
      </c>
      <c r="B36" s="842" t="s">
        <v>619</v>
      </c>
      <c r="C36" s="816"/>
      <c r="D36" s="742"/>
      <c r="E36" s="705">
        <f t="shared" si="7"/>
        <v>0</v>
      </c>
      <c r="F36" s="1097"/>
      <c r="G36" s="1097"/>
      <c r="H36" s="124"/>
      <c r="I36" s="1146">
        <f t="shared" si="1"/>
        <v>0</v>
      </c>
      <c r="J36" s="1000"/>
      <c r="K36" s="1192"/>
      <c r="L36" s="345"/>
      <c r="M36" s="333"/>
      <c r="N36" s="188">
        <f t="shared" si="4"/>
        <v>0</v>
      </c>
      <c r="O36" s="335"/>
      <c r="P36" s="333"/>
      <c r="Q36" s="442"/>
      <c r="S36" s="345">
        <f t="shared" si="5"/>
        <v>0</v>
      </c>
      <c r="T36" s="430"/>
      <c r="U36" s="430"/>
      <c r="V36" s="1555"/>
    </row>
    <row r="37" spans="1:22" ht="24.95" customHeight="1" thickBot="1" x14ac:dyDescent="0.35">
      <c r="A37" s="288" t="s">
        <v>74</v>
      </c>
      <c r="B37" s="847" t="s">
        <v>380</v>
      </c>
      <c r="C37" s="817">
        <v>0</v>
      </c>
      <c r="D37" s="848"/>
      <c r="E37" s="705">
        <f t="shared" si="7"/>
        <v>0</v>
      </c>
      <c r="F37" s="1103"/>
      <c r="G37" s="1103"/>
      <c r="H37" s="1132"/>
      <c r="I37" s="1147">
        <f t="shared" si="1"/>
        <v>0</v>
      </c>
      <c r="J37" s="1089"/>
      <c r="K37" s="421"/>
      <c r="L37" s="421"/>
      <c r="M37" s="1321"/>
      <c r="N37" s="1451">
        <f t="shared" si="4"/>
        <v>0</v>
      </c>
      <c r="O37" s="1515"/>
      <c r="P37" s="334"/>
      <c r="Q37" s="478"/>
      <c r="S37" s="372">
        <f t="shared" si="5"/>
        <v>0</v>
      </c>
      <c r="T37" s="372">
        <f>'[14]Summ by Dept'!$CM$133</f>
        <v>203</v>
      </c>
      <c r="U37" s="432">
        <f t="shared" si="9"/>
        <v>203</v>
      </c>
      <c r="V37" s="1555">
        <v>203</v>
      </c>
    </row>
    <row r="38" spans="1:22" ht="24.95" customHeight="1" thickBot="1" x14ac:dyDescent="0.4">
      <c r="A38" s="837"/>
      <c r="B38" s="845" t="s">
        <v>75</v>
      </c>
      <c r="C38" s="838">
        <f t="shared" ref="C38:H38" si="10">SUM(C5:C37)</f>
        <v>181262</v>
      </c>
      <c r="D38" s="839">
        <f t="shared" si="10"/>
        <v>174518.00999999998</v>
      </c>
      <c r="E38" s="840">
        <f t="shared" si="10"/>
        <v>-6643.9899999999971</v>
      </c>
      <c r="F38" s="839">
        <f t="shared" si="10"/>
        <v>186325</v>
      </c>
      <c r="G38" s="839">
        <f t="shared" si="10"/>
        <v>186760.11</v>
      </c>
      <c r="H38" s="839">
        <f t="shared" si="10"/>
        <v>163146.95999999996</v>
      </c>
      <c r="I38" s="1148">
        <f t="shared" si="1"/>
        <v>23178.040000000037</v>
      </c>
      <c r="J38" s="1104">
        <f t="shared" si="3"/>
        <v>0.87560423990339442</v>
      </c>
      <c r="K38" s="839">
        <f t="shared" ref="K38" si="11">SUM(K5:K37)</f>
        <v>11700</v>
      </c>
      <c r="L38" s="839">
        <f t="shared" ref="L38:V38" si="12">SUM(L5:L37)</f>
        <v>194774</v>
      </c>
      <c r="M38" s="1501">
        <f t="shared" si="12"/>
        <v>165041.86000000002</v>
      </c>
      <c r="N38" s="1502">
        <f>L38-M38</f>
        <v>29732.139999999985</v>
      </c>
      <c r="O38" s="1502">
        <f t="shared" si="12"/>
        <v>195252</v>
      </c>
      <c r="P38" s="838">
        <f t="shared" si="12"/>
        <v>189802</v>
      </c>
      <c r="Q38" s="838">
        <f t="shared" si="12"/>
        <v>224584</v>
      </c>
      <c r="R38" s="1664">
        <f t="shared" si="12"/>
        <v>215886.16</v>
      </c>
      <c r="S38" s="1502">
        <f t="shared" si="12"/>
        <v>258451</v>
      </c>
      <c r="T38" s="1502">
        <f t="shared" si="12"/>
        <v>220045.08200000002</v>
      </c>
      <c r="U38" s="1502">
        <f t="shared" si="12"/>
        <v>-38405.917999999976</v>
      </c>
      <c r="V38" s="1709">
        <f t="shared" si="12"/>
        <v>239947</v>
      </c>
    </row>
    <row r="39" spans="1:22" ht="18" hidden="1" x14ac:dyDescent="0.35">
      <c r="B39" s="16" t="s">
        <v>478</v>
      </c>
    </row>
    <row r="40" spans="1:22" ht="18" hidden="1" x14ac:dyDescent="0.35">
      <c r="B40" s="117" t="s">
        <v>479</v>
      </c>
    </row>
    <row r="41" spans="1:22" ht="18" hidden="1" x14ac:dyDescent="0.35">
      <c r="B41" s="16" t="s">
        <v>480</v>
      </c>
    </row>
  </sheetData>
  <phoneticPr fontId="0" type="noConversion"/>
  <printOptions horizontalCentered="1"/>
  <pageMargins left="0" right="0" top="0.5" bottom="0.5" header="0.3" footer="0.3"/>
  <pageSetup paperSize="5" scale="75" orientation="portrait" r:id="rId1"/>
  <headerFooter>
    <oddHeader>&amp;RPAGE 17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20"/>
  <sheetViews>
    <sheetView workbookViewId="0">
      <selection activeCell="Q1" sqref="Q1:Q1048576"/>
    </sheetView>
  </sheetViews>
  <sheetFormatPr defaultRowHeight="15" x14ac:dyDescent="0.25"/>
  <cols>
    <col min="2" max="2" width="45.5703125" customWidth="1"/>
    <col min="3" max="3" width="16.140625" style="85" hidden="1" customWidth="1"/>
    <col min="4" max="4" width="18" style="85" hidden="1" customWidth="1"/>
    <col min="5" max="5" width="21.28515625" style="85" hidden="1" customWidth="1"/>
    <col min="6" max="6" width="18.7109375" style="76" hidden="1" customWidth="1"/>
    <col min="7" max="7" width="18" style="204" hidden="1" customWidth="1"/>
    <col min="8" max="8" width="16.28515625" hidden="1" customWidth="1"/>
    <col min="9" max="9" width="18.5703125" style="144" hidden="1" customWidth="1"/>
    <col min="10" max="10" width="19.85546875" style="76" hidden="1" customWidth="1"/>
    <col min="11" max="11" width="14.5703125" style="76" hidden="1" customWidth="1"/>
    <col min="12" max="12" width="13.85546875" style="76" hidden="1" customWidth="1"/>
    <col min="13" max="14" width="15.85546875" style="76" hidden="1" customWidth="1"/>
    <col min="15" max="15" width="23.5703125" customWidth="1"/>
    <col min="16" max="16" width="16.5703125" customWidth="1"/>
    <col min="17" max="17" width="16.7109375" hidden="1" customWidth="1"/>
    <col min="18" max="18" width="16.7109375" style="204" customWidth="1"/>
  </cols>
  <sheetData>
    <row r="1" spans="1:18" ht="22.5" customHeight="1" x14ac:dyDescent="0.4">
      <c r="A1" s="19" t="s">
        <v>646</v>
      </c>
      <c r="B1" s="198" t="s">
        <v>406</v>
      </c>
      <c r="C1" s="718"/>
      <c r="D1" s="718"/>
      <c r="E1" s="718"/>
      <c r="F1" s="718"/>
      <c r="G1" s="718"/>
      <c r="H1" s="718"/>
      <c r="I1" s="718"/>
      <c r="J1" s="183"/>
      <c r="K1" s="183"/>
      <c r="L1" s="183"/>
      <c r="M1" s="183"/>
      <c r="N1" s="183"/>
      <c r="O1" s="20"/>
      <c r="P1" s="20"/>
      <c r="Q1" s="20"/>
      <c r="R1" s="1697"/>
    </row>
    <row r="2" spans="1:18" ht="30" customHeight="1" x14ac:dyDescent="0.4">
      <c r="A2" s="20"/>
      <c r="B2" s="1078" t="s">
        <v>1155</v>
      </c>
      <c r="C2" s="720"/>
      <c r="D2" s="720"/>
      <c r="E2" s="720"/>
      <c r="F2" s="720"/>
      <c r="G2" s="720"/>
      <c r="H2" s="720"/>
      <c r="I2" s="720"/>
      <c r="J2" s="186"/>
      <c r="K2" s="186"/>
      <c r="L2" s="186"/>
      <c r="M2" s="186"/>
      <c r="N2" s="186"/>
      <c r="O2" s="20"/>
      <c r="P2" s="20"/>
      <c r="Q2" s="20"/>
      <c r="R2" s="1697"/>
    </row>
    <row r="3" spans="1:18" ht="22.5" customHeight="1" thickBot="1" x14ac:dyDescent="0.45">
      <c r="A3" s="157"/>
      <c r="B3" s="282" t="s">
        <v>1107</v>
      </c>
      <c r="C3" s="720"/>
      <c r="D3" s="720"/>
      <c r="E3" s="720"/>
      <c r="F3" s="720"/>
      <c r="G3" s="720"/>
      <c r="H3" s="720"/>
      <c r="I3" s="720"/>
      <c r="J3" s="186"/>
      <c r="K3" s="186"/>
      <c r="L3" s="186"/>
      <c r="M3" s="186"/>
      <c r="N3" s="186"/>
      <c r="O3" s="20"/>
      <c r="P3" s="20"/>
      <c r="Q3" s="20"/>
      <c r="R3" s="1697"/>
    </row>
    <row r="4" spans="1:18" s="93" customFormat="1" ht="68.099999999999994" customHeight="1" thickBot="1" x14ac:dyDescent="0.4">
      <c r="A4" s="329" t="s">
        <v>631</v>
      </c>
      <c r="B4" s="329" t="s">
        <v>630</v>
      </c>
      <c r="C4" s="551" t="s">
        <v>837</v>
      </c>
      <c r="D4" s="819" t="s">
        <v>811</v>
      </c>
      <c r="E4" s="190" t="s">
        <v>797</v>
      </c>
      <c r="F4" s="612" t="s">
        <v>855</v>
      </c>
      <c r="G4" s="1070" t="s">
        <v>780</v>
      </c>
      <c r="H4" s="1079" t="s">
        <v>853</v>
      </c>
      <c r="I4" s="1074" t="s">
        <v>854</v>
      </c>
      <c r="J4" s="551" t="s">
        <v>944</v>
      </c>
      <c r="K4" s="1428" t="s">
        <v>981</v>
      </c>
      <c r="L4" s="1448" t="s">
        <v>798</v>
      </c>
      <c r="M4" s="1448" t="s">
        <v>942</v>
      </c>
      <c r="N4" s="1448" t="s">
        <v>943</v>
      </c>
      <c r="O4" s="1588" t="s">
        <v>1078</v>
      </c>
      <c r="P4" s="1588" t="s">
        <v>1083</v>
      </c>
      <c r="Q4" s="1588" t="s">
        <v>798</v>
      </c>
      <c r="R4" s="1710" t="s">
        <v>1097</v>
      </c>
    </row>
    <row r="5" spans="1:18" ht="24.95" customHeight="1" x14ac:dyDescent="0.3">
      <c r="A5" s="349">
        <v>174</v>
      </c>
      <c r="B5" s="852" t="s">
        <v>407</v>
      </c>
      <c r="C5" s="937"/>
      <c r="D5" s="477">
        <v>404</v>
      </c>
      <c r="E5" s="477">
        <f>D5-C5</f>
        <v>404</v>
      </c>
      <c r="F5" s="326">
        <v>404</v>
      </c>
      <c r="G5" s="937"/>
      <c r="H5" s="432">
        <f>F5-G5</f>
        <v>404</v>
      </c>
      <c r="I5" s="1075">
        <f>G5/F5</f>
        <v>0</v>
      </c>
      <c r="J5" s="432"/>
      <c r="K5" s="332"/>
      <c r="L5" s="326"/>
      <c r="M5" s="326"/>
      <c r="N5" s="326"/>
      <c r="O5" s="326"/>
      <c r="P5" s="76">
        <f>'[14]Summ by Dept'!$AG$163</f>
        <v>407.05</v>
      </c>
      <c r="Q5" s="76">
        <f>P5-O5</f>
        <v>407.05</v>
      </c>
      <c r="R5" s="1711"/>
    </row>
    <row r="6" spans="1:18" ht="24.95" customHeight="1" x14ac:dyDescent="0.3">
      <c r="A6" s="350">
        <v>175</v>
      </c>
      <c r="B6" s="853" t="s">
        <v>408</v>
      </c>
      <c r="C6" s="938">
        <v>20000</v>
      </c>
      <c r="D6" s="124">
        <v>9550</v>
      </c>
      <c r="E6" s="922">
        <f t="shared" ref="E6:E19" si="0">D6-C6</f>
        <v>-10450</v>
      </c>
      <c r="F6" s="185">
        <v>10000</v>
      </c>
      <c r="G6" s="938">
        <f>[7]Sheet1!$AH$163</f>
        <v>23650</v>
      </c>
      <c r="H6" s="345">
        <f>F6-G6</f>
        <v>-13650</v>
      </c>
      <c r="I6" s="1076">
        <f t="shared" ref="I6:I20" si="1">G6/F6</f>
        <v>2.3650000000000002</v>
      </c>
      <c r="J6" s="345">
        <v>18500</v>
      </c>
      <c r="K6" s="333">
        <v>26875</v>
      </c>
      <c r="L6" s="185">
        <f>J6-K6</f>
        <v>-8375</v>
      </c>
      <c r="M6" s="185">
        <v>9000</v>
      </c>
      <c r="N6" s="185">
        <v>9000</v>
      </c>
      <c r="O6" s="185">
        <v>9000</v>
      </c>
      <c r="P6" s="76">
        <f>'[14]Summ by Dept'!$AH$163</f>
        <v>19125</v>
      </c>
      <c r="Q6" s="76">
        <f>P6-O6</f>
        <v>10125</v>
      </c>
      <c r="R6" s="1711"/>
    </row>
    <row r="7" spans="1:18" ht="49.9" customHeight="1" x14ac:dyDescent="0.3">
      <c r="A7" s="350">
        <v>211</v>
      </c>
      <c r="B7" s="853" t="s">
        <v>409</v>
      </c>
      <c r="C7" s="938">
        <v>50000</v>
      </c>
      <c r="D7" s="124">
        <v>22869.91</v>
      </c>
      <c r="E7" s="124">
        <f t="shared" si="0"/>
        <v>-27130.09</v>
      </c>
      <c r="F7" s="185">
        <v>25000</v>
      </c>
      <c r="G7" s="938">
        <f>[7]Sheet1!$AS$163</f>
        <v>28727.91</v>
      </c>
      <c r="H7" s="345">
        <f t="shared" ref="H7:H17" si="2">F7-G7</f>
        <v>-3727.91</v>
      </c>
      <c r="I7" s="1076">
        <f t="shared" si="1"/>
        <v>1.1491164</v>
      </c>
      <c r="J7" s="345">
        <v>35000</v>
      </c>
      <c r="K7" s="333">
        <v>68004.09</v>
      </c>
      <c r="L7" s="185">
        <f t="shared" ref="L7:L19" si="3">J7-K7</f>
        <v>-33004.089999999997</v>
      </c>
      <c r="M7" s="185">
        <v>25000</v>
      </c>
      <c r="N7" s="185">
        <v>25000</v>
      </c>
      <c r="O7" s="185">
        <v>25000</v>
      </c>
      <c r="P7" s="76">
        <f>'[14]Summ by Dept'!$AS$163</f>
        <v>70211.95</v>
      </c>
      <c r="Q7" s="76">
        <f t="shared" ref="Q7:Q19" si="4">P7-O7</f>
        <v>45211.95</v>
      </c>
      <c r="R7" s="1711"/>
    </row>
    <row r="8" spans="1:18" s="62" customFormat="1" ht="24.95" customHeight="1" x14ac:dyDescent="0.3">
      <c r="A8" s="351">
        <v>219</v>
      </c>
      <c r="B8" s="854" t="s">
        <v>410</v>
      </c>
      <c r="C8" s="939">
        <v>1500</v>
      </c>
      <c r="D8" s="481">
        <v>924.91</v>
      </c>
      <c r="E8" s="124">
        <f t="shared" si="0"/>
        <v>-575.09</v>
      </c>
      <c r="F8" s="185">
        <v>950</v>
      </c>
      <c r="G8" s="939">
        <f>[7]Sheet1!$AZ$163</f>
        <v>651.01</v>
      </c>
      <c r="H8" s="345">
        <f t="shared" si="2"/>
        <v>298.99</v>
      </c>
      <c r="I8" s="1076">
        <f t="shared" si="1"/>
        <v>0.68527368421052626</v>
      </c>
      <c r="J8" s="433">
        <v>600</v>
      </c>
      <c r="K8" s="1110">
        <v>461.55</v>
      </c>
      <c r="L8" s="185">
        <f t="shared" si="3"/>
        <v>138.44999999999999</v>
      </c>
      <c r="M8" s="188">
        <v>600</v>
      </c>
      <c r="N8" s="188">
        <v>600</v>
      </c>
      <c r="O8" s="188">
        <v>600</v>
      </c>
      <c r="P8" s="1236">
        <f>'[14]Summ by Dept'!$AZ$163</f>
        <v>3755.5</v>
      </c>
      <c r="Q8" s="76">
        <f t="shared" si="4"/>
        <v>3155.5</v>
      </c>
      <c r="R8" s="1711"/>
    </row>
    <row r="9" spans="1:18" s="62" customFormat="1" ht="24.95" customHeight="1" x14ac:dyDescent="0.3">
      <c r="A9" s="351">
        <v>220</v>
      </c>
      <c r="B9" s="854" t="s">
        <v>594</v>
      </c>
      <c r="C9" s="939">
        <v>5000</v>
      </c>
      <c r="D9" s="481">
        <v>200</v>
      </c>
      <c r="E9" s="124">
        <f t="shared" si="0"/>
        <v>-4800</v>
      </c>
      <c r="F9" s="185">
        <v>200</v>
      </c>
      <c r="G9" s="939">
        <f>[7]Sheet1!$BA$163</f>
        <v>400</v>
      </c>
      <c r="H9" s="345">
        <f t="shared" si="2"/>
        <v>-200</v>
      </c>
      <c r="I9" s="1076">
        <f t="shared" si="1"/>
        <v>2</v>
      </c>
      <c r="J9" s="433">
        <v>600</v>
      </c>
      <c r="K9" s="1110">
        <v>2062</v>
      </c>
      <c r="L9" s="185">
        <f t="shared" si="3"/>
        <v>-1462</v>
      </c>
      <c r="M9" s="188">
        <v>600</v>
      </c>
      <c r="N9" s="188">
        <v>600</v>
      </c>
      <c r="O9" s="188">
        <v>600</v>
      </c>
      <c r="P9" s="1236">
        <f>'[14]Summ by Dept'!$BA$163</f>
        <v>1270</v>
      </c>
      <c r="Q9" s="76">
        <f t="shared" si="4"/>
        <v>670</v>
      </c>
      <c r="R9" s="1711"/>
    </row>
    <row r="10" spans="1:18" s="62" customFormat="1" ht="24.95" customHeight="1" x14ac:dyDescent="0.3">
      <c r="A10" s="351">
        <v>231</v>
      </c>
      <c r="B10" s="854" t="s">
        <v>379</v>
      </c>
      <c r="C10" s="939">
        <v>200</v>
      </c>
      <c r="D10" s="481"/>
      <c r="E10" s="124">
        <f t="shared" si="0"/>
        <v>-200</v>
      </c>
      <c r="F10" s="185">
        <v>200</v>
      </c>
      <c r="G10" s="939">
        <f>[7]Sheet1!$BD$163</f>
        <v>772.89</v>
      </c>
      <c r="H10" s="345">
        <f t="shared" si="2"/>
        <v>-572.89</v>
      </c>
      <c r="I10" s="1076">
        <f t="shared" si="1"/>
        <v>3.8644499999999997</v>
      </c>
      <c r="J10" s="433">
        <v>200</v>
      </c>
      <c r="K10" s="1110">
        <v>35.549999999999997</v>
      </c>
      <c r="L10" s="185">
        <f t="shared" si="3"/>
        <v>164.45</v>
      </c>
      <c r="M10" s="188">
        <v>200</v>
      </c>
      <c r="N10" s="188">
        <v>200</v>
      </c>
      <c r="O10" s="188">
        <v>200</v>
      </c>
      <c r="Q10" s="76">
        <f t="shared" si="4"/>
        <v>-200</v>
      </c>
      <c r="R10" s="1711"/>
    </row>
    <row r="11" spans="1:18" s="62" customFormat="1" ht="24.95" customHeight="1" x14ac:dyDescent="0.3">
      <c r="A11" s="351">
        <v>237</v>
      </c>
      <c r="B11" s="854" t="s">
        <v>411</v>
      </c>
      <c r="C11" s="939"/>
      <c r="D11" s="481"/>
      <c r="E11" s="124">
        <f t="shared" si="0"/>
        <v>0</v>
      </c>
      <c r="F11" s="185"/>
      <c r="G11" s="939"/>
      <c r="H11" s="345">
        <f t="shared" si="2"/>
        <v>0</v>
      </c>
      <c r="I11" s="1076"/>
      <c r="J11" s="433"/>
      <c r="K11" s="1110"/>
      <c r="L11" s="185">
        <f t="shared" si="3"/>
        <v>0</v>
      </c>
      <c r="M11" s="188"/>
      <c r="N11" s="188"/>
      <c r="O11" s="188"/>
      <c r="R11" s="1711"/>
    </row>
    <row r="12" spans="1:18" s="62" customFormat="1" ht="24.95" customHeight="1" x14ac:dyDescent="0.3">
      <c r="A12" s="351">
        <v>240</v>
      </c>
      <c r="B12" s="854" t="s">
        <v>316</v>
      </c>
      <c r="C12" s="939">
        <v>1500</v>
      </c>
      <c r="D12" s="481">
        <v>1622</v>
      </c>
      <c r="E12" s="124">
        <f t="shared" si="0"/>
        <v>122</v>
      </c>
      <c r="F12" s="185">
        <v>1700</v>
      </c>
      <c r="G12" s="939">
        <f>[7]Sheet1!$BK$163</f>
        <v>1207.1799999999998</v>
      </c>
      <c r="H12" s="345">
        <f t="shared" si="2"/>
        <v>492.82000000000016</v>
      </c>
      <c r="I12" s="1076">
        <f t="shared" si="1"/>
        <v>0.71010588235294103</v>
      </c>
      <c r="J12" s="433">
        <v>1300</v>
      </c>
      <c r="K12" s="1110">
        <v>1495.46</v>
      </c>
      <c r="L12" s="185">
        <f t="shared" si="3"/>
        <v>-195.46000000000004</v>
      </c>
      <c r="M12" s="188">
        <v>1300</v>
      </c>
      <c r="N12" s="188">
        <v>1300</v>
      </c>
      <c r="O12" s="188">
        <v>1300</v>
      </c>
      <c r="P12" s="1236">
        <f>'[14]Summ by Dept'!$BK$163</f>
        <v>981.66</v>
      </c>
      <c r="Q12" s="76">
        <f t="shared" si="4"/>
        <v>-318.34000000000003</v>
      </c>
      <c r="R12" s="1711">
        <v>1300</v>
      </c>
    </row>
    <row r="13" spans="1:18" s="62" customFormat="1" ht="24.95" customHeight="1" x14ac:dyDescent="0.3">
      <c r="A13" s="351">
        <v>251</v>
      </c>
      <c r="B13" s="854" t="s">
        <v>98</v>
      </c>
      <c r="C13" s="939"/>
      <c r="D13" s="481"/>
      <c r="E13" s="124">
        <f t="shared" si="0"/>
        <v>0</v>
      </c>
      <c r="F13" s="185"/>
      <c r="G13" s="939"/>
      <c r="H13" s="345">
        <f t="shared" si="2"/>
        <v>0</v>
      </c>
      <c r="I13" s="1076"/>
      <c r="J13" s="433"/>
      <c r="K13" s="1110"/>
      <c r="L13" s="185">
        <f t="shared" si="3"/>
        <v>0</v>
      </c>
      <c r="M13" s="188"/>
      <c r="N13" s="188"/>
      <c r="O13" s="188"/>
      <c r="R13" s="1711"/>
    </row>
    <row r="14" spans="1:18" s="62" customFormat="1" ht="24.95" customHeight="1" x14ac:dyDescent="0.3">
      <c r="A14" s="351">
        <v>252</v>
      </c>
      <c r="B14" s="854" t="s">
        <v>412</v>
      </c>
      <c r="C14" s="939">
        <v>2000</v>
      </c>
      <c r="D14" s="481">
        <v>474.84</v>
      </c>
      <c r="E14" s="124">
        <f t="shared" si="0"/>
        <v>-1525.16</v>
      </c>
      <c r="F14" s="185">
        <v>2000</v>
      </c>
      <c r="G14" s="939">
        <f>[7]Sheet1!$BO$163</f>
        <v>8.1300000000000008</v>
      </c>
      <c r="H14" s="345">
        <f t="shared" si="2"/>
        <v>1991.87</v>
      </c>
      <c r="I14" s="1076">
        <f t="shared" si="1"/>
        <v>4.065E-3</v>
      </c>
      <c r="J14" s="433">
        <v>1000</v>
      </c>
      <c r="K14" s="1110">
        <v>210.16</v>
      </c>
      <c r="L14" s="185">
        <f t="shared" si="3"/>
        <v>789.84</v>
      </c>
      <c r="M14" s="188">
        <v>1000</v>
      </c>
      <c r="N14" s="188">
        <v>1000</v>
      </c>
      <c r="O14" s="188">
        <v>1000</v>
      </c>
      <c r="P14" s="1236">
        <f>'[14]Summ by Dept'!$BO$163</f>
        <v>299.14999999999998</v>
      </c>
      <c r="Q14" s="76">
        <f t="shared" si="4"/>
        <v>-700.85</v>
      </c>
      <c r="R14" s="1711">
        <v>0</v>
      </c>
    </row>
    <row r="15" spans="1:18" s="62" customFormat="1" ht="24.95" customHeight="1" x14ac:dyDescent="0.3">
      <c r="A15" s="351">
        <v>253</v>
      </c>
      <c r="B15" s="854" t="s">
        <v>746</v>
      </c>
      <c r="C15" s="939">
        <v>4000</v>
      </c>
      <c r="D15" s="481">
        <f>667.35+8901</f>
        <v>9568.35</v>
      </c>
      <c r="E15" s="124">
        <f t="shared" si="0"/>
        <v>5568.35</v>
      </c>
      <c r="F15" s="185">
        <v>9000</v>
      </c>
      <c r="G15" s="939">
        <f>[7]Sheet1!$BP$163</f>
        <v>2765.0299999999997</v>
      </c>
      <c r="H15" s="345">
        <f t="shared" si="2"/>
        <v>6234.97</v>
      </c>
      <c r="I15" s="1076">
        <f t="shared" si="1"/>
        <v>0.30722555555555553</v>
      </c>
      <c r="J15" s="433">
        <v>3000</v>
      </c>
      <c r="K15" s="1110">
        <v>2377.38</v>
      </c>
      <c r="L15" s="185">
        <f t="shared" si="3"/>
        <v>622.61999999999989</v>
      </c>
      <c r="M15" s="188">
        <v>3000</v>
      </c>
      <c r="N15" s="188">
        <v>3000</v>
      </c>
      <c r="O15" s="188">
        <v>3000</v>
      </c>
      <c r="P15" s="1236">
        <f>'[14]Summ by Dept'!$BP$163</f>
        <v>12671.68</v>
      </c>
      <c r="Q15" s="76">
        <f t="shared" si="4"/>
        <v>9671.68</v>
      </c>
      <c r="R15" s="1711"/>
    </row>
    <row r="16" spans="1:18" s="62" customFormat="1" ht="24.95" customHeight="1" x14ac:dyDescent="0.3">
      <c r="A16" s="351">
        <v>262</v>
      </c>
      <c r="B16" s="854" t="s">
        <v>686</v>
      </c>
      <c r="C16" s="939"/>
      <c r="D16" s="481"/>
      <c r="E16" s="124">
        <f t="shared" si="0"/>
        <v>0</v>
      </c>
      <c r="F16" s="185"/>
      <c r="G16" s="939">
        <f>[7]Sheet1!$BT$163</f>
        <v>268.38</v>
      </c>
      <c r="H16" s="345">
        <f t="shared" si="2"/>
        <v>-268.38</v>
      </c>
      <c r="I16" s="1076"/>
      <c r="J16" s="433">
        <v>300</v>
      </c>
      <c r="K16" s="1110">
        <v>96.3</v>
      </c>
      <c r="L16" s="185">
        <f t="shared" si="3"/>
        <v>203.7</v>
      </c>
      <c r="M16" s="188">
        <v>300</v>
      </c>
      <c r="N16" s="188">
        <v>300</v>
      </c>
      <c r="O16" s="188">
        <v>300</v>
      </c>
      <c r="R16" s="1711"/>
    </row>
    <row r="17" spans="1:18" s="62" customFormat="1" ht="24.95" customHeight="1" x14ac:dyDescent="0.3">
      <c r="A17" s="351">
        <v>416</v>
      </c>
      <c r="B17" s="854" t="s">
        <v>413</v>
      </c>
      <c r="C17" s="939">
        <v>11000</v>
      </c>
      <c r="D17" s="481">
        <v>5625</v>
      </c>
      <c r="E17" s="124">
        <f t="shared" si="0"/>
        <v>-5375</v>
      </c>
      <c r="F17" s="185">
        <v>5625</v>
      </c>
      <c r="G17" s="939">
        <f>[7]Sheet1!$CK$163+[7]Sheet1!$CH$163</f>
        <v>6875</v>
      </c>
      <c r="H17" s="345">
        <f t="shared" si="2"/>
        <v>-1250</v>
      </c>
      <c r="I17" s="1076">
        <f t="shared" si="1"/>
        <v>1.2222222222222223</v>
      </c>
      <c r="J17" s="433">
        <v>11250</v>
      </c>
      <c r="K17" s="1110">
        <v>19875</v>
      </c>
      <c r="L17" s="185">
        <f t="shared" si="3"/>
        <v>-8625</v>
      </c>
      <c r="M17" s="188">
        <v>5250</v>
      </c>
      <c r="N17" s="188">
        <v>5250</v>
      </c>
      <c r="O17" s="188">
        <v>5250</v>
      </c>
      <c r="P17" s="1236">
        <f>'[14]Summ by Dept'!$CH$163+'[14]Summ by Dept'!$CK$163</f>
        <v>13625</v>
      </c>
      <c r="Q17" s="76">
        <f t="shared" si="4"/>
        <v>8375</v>
      </c>
      <c r="R17" s="1711"/>
    </row>
    <row r="18" spans="1:18" s="62" customFormat="1" ht="24.95" customHeight="1" x14ac:dyDescent="0.3">
      <c r="A18" s="351">
        <v>470</v>
      </c>
      <c r="B18" s="854" t="s">
        <v>579</v>
      </c>
      <c r="C18" s="939"/>
      <c r="D18" s="481"/>
      <c r="E18" s="124">
        <f t="shared" si="0"/>
        <v>0</v>
      </c>
      <c r="F18" s="185"/>
      <c r="G18" s="939"/>
      <c r="H18" s="964"/>
      <c r="I18" s="1076"/>
      <c r="J18" s="433"/>
      <c r="K18" s="1110"/>
      <c r="L18" s="185">
        <f t="shared" si="3"/>
        <v>0</v>
      </c>
      <c r="M18" s="188"/>
      <c r="N18" s="188"/>
      <c r="O18" s="188"/>
      <c r="R18" s="1711"/>
    </row>
    <row r="19" spans="1:18" ht="24.95" customHeight="1" thickBot="1" x14ac:dyDescent="0.35">
      <c r="A19" s="855">
        <v>499</v>
      </c>
      <c r="B19" s="856" t="s">
        <v>414</v>
      </c>
      <c r="C19" s="940"/>
      <c r="D19" s="637">
        <v>13.06</v>
      </c>
      <c r="E19" s="637">
        <f t="shared" si="0"/>
        <v>13.06</v>
      </c>
      <c r="F19" s="191"/>
      <c r="G19" s="940"/>
      <c r="H19" s="976"/>
      <c r="I19" s="1081"/>
      <c r="J19" s="421"/>
      <c r="K19" s="334"/>
      <c r="L19" s="185">
        <f t="shared" si="3"/>
        <v>0</v>
      </c>
      <c r="M19" s="193"/>
      <c r="N19" s="193"/>
      <c r="O19" s="193"/>
      <c r="P19" s="76">
        <f>'[14]Summ by Dept'!$CM$163</f>
        <v>705</v>
      </c>
      <c r="Q19" s="76">
        <f t="shared" si="4"/>
        <v>705</v>
      </c>
      <c r="R19" s="1711">
        <v>0</v>
      </c>
    </row>
    <row r="20" spans="1:18" ht="24.95" customHeight="1" thickBot="1" x14ac:dyDescent="0.4">
      <c r="A20" s="849"/>
      <c r="B20" s="850" t="s">
        <v>415</v>
      </c>
      <c r="C20" s="851">
        <f>SUM(C5:C19)</f>
        <v>95200</v>
      </c>
      <c r="D20" s="1005">
        <f>SUM(D5:D19)</f>
        <v>51252.07</v>
      </c>
      <c r="E20" s="1005">
        <f>SUM(E5:E19)</f>
        <v>-43947.93</v>
      </c>
      <c r="F20" s="1005">
        <f>SUM(F5:F19)</f>
        <v>55079</v>
      </c>
      <c r="G20" s="851">
        <f>SUM(G5:G19)</f>
        <v>65325.53</v>
      </c>
      <c r="H20" s="1083">
        <f t="shared" ref="H20" si="5">F20-G20</f>
        <v>-10246.529999999999</v>
      </c>
      <c r="I20" s="1082">
        <f t="shared" si="1"/>
        <v>1.1860333339385247</v>
      </c>
      <c r="J20" s="851">
        <f>SUM(J5:J19)</f>
        <v>71750</v>
      </c>
      <c r="K20" s="1452">
        <f t="shared" ref="K20:Q20" si="6">SUM(K5:K19)</f>
        <v>121492.49000000002</v>
      </c>
      <c r="L20" s="1452">
        <f>J20-K20</f>
        <v>-49742.49000000002</v>
      </c>
      <c r="M20" s="1452">
        <f t="shared" si="6"/>
        <v>46250</v>
      </c>
      <c r="N20" s="1452">
        <f t="shared" si="6"/>
        <v>46250</v>
      </c>
      <c r="O20" s="1452">
        <f t="shared" si="6"/>
        <v>46250</v>
      </c>
      <c r="P20" s="1452">
        <f t="shared" si="6"/>
        <v>123051.98999999999</v>
      </c>
      <c r="Q20" s="1452">
        <f t="shared" si="6"/>
        <v>77101.990000000005</v>
      </c>
      <c r="R20" s="1712">
        <f>SUM(R5:R19)</f>
        <v>1300</v>
      </c>
    </row>
  </sheetData>
  <phoneticPr fontId="20" type="noConversion"/>
  <pageMargins left="0.75" right="0.75" top="1" bottom="1" header="0.5" footer="0.5"/>
  <pageSetup paperSize="5" scale="79" orientation="portrait" r:id="rId1"/>
  <headerFooter alignWithMargins="0">
    <oddHeader>&amp;RPAGE 18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C1:U25"/>
  <sheetViews>
    <sheetView workbookViewId="0">
      <selection activeCell="U6" sqref="U6"/>
    </sheetView>
  </sheetViews>
  <sheetFormatPr defaultRowHeight="15" x14ac:dyDescent="0.25"/>
  <cols>
    <col min="2" max="2" width="5.5703125" customWidth="1"/>
    <col min="3" max="3" width="15.85546875" customWidth="1"/>
    <col min="4" max="4" width="48.7109375" customWidth="1"/>
    <col min="5" max="5" width="18.85546875" style="85" hidden="1" customWidth="1"/>
    <col min="6" max="6" width="19.140625" style="85" hidden="1" customWidth="1"/>
    <col min="7" max="7" width="15.28515625" hidden="1" customWidth="1"/>
    <col min="8" max="9" width="14.85546875" style="85" hidden="1" customWidth="1"/>
    <col min="10" max="10" width="17.85546875" hidden="1" customWidth="1"/>
    <col min="11" max="11" width="16.28515625" hidden="1" customWidth="1"/>
    <col min="12" max="12" width="14.7109375" style="144" hidden="1" customWidth="1"/>
    <col min="13" max="13" width="21.28515625" style="76" hidden="1" customWidth="1"/>
    <col min="14" max="14" width="13" style="76" hidden="1" customWidth="1"/>
    <col min="15" max="15" width="16.42578125" style="76" hidden="1" customWidth="1"/>
    <col min="16" max="16" width="12.85546875" style="76" hidden="1" customWidth="1"/>
    <col min="17" max="17" width="14" style="76" hidden="1" customWidth="1"/>
    <col min="18" max="18" width="17.85546875" customWidth="1"/>
    <col min="19" max="19" width="17.5703125" customWidth="1"/>
    <col min="20" max="20" width="17.7109375" hidden="1" customWidth="1"/>
    <col min="21" max="21" width="14.42578125" customWidth="1"/>
  </cols>
  <sheetData>
    <row r="1" spans="3:21" ht="22.5" customHeight="1" x14ac:dyDescent="0.4">
      <c r="C1" s="141"/>
      <c r="D1" s="141" t="s">
        <v>416</v>
      </c>
      <c r="E1" s="723"/>
      <c r="F1" s="723"/>
      <c r="G1" s="723"/>
      <c r="H1" s="723"/>
      <c r="I1" s="723"/>
      <c r="J1" s="723"/>
      <c r="K1" s="723"/>
      <c r="L1" s="723"/>
      <c r="M1" s="1260"/>
      <c r="N1" s="183"/>
      <c r="O1" s="183"/>
      <c r="P1" s="183"/>
      <c r="Q1" s="183"/>
      <c r="R1" s="197"/>
      <c r="S1" s="197"/>
      <c r="T1" s="197"/>
      <c r="U1" s="197"/>
    </row>
    <row r="2" spans="3:21" ht="30" customHeight="1" x14ac:dyDescent="0.4">
      <c r="C2" s="197"/>
      <c r="D2" s="1078" t="s">
        <v>1155</v>
      </c>
      <c r="E2" s="719"/>
      <c r="F2" s="719"/>
      <c r="G2" s="719"/>
      <c r="H2" s="719"/>
      <c r="I2" s="719"/>
      <c r="J2" s="719"/>
      <c r="K2" s="719"/>
      <c r="L2" s="719"/>
      <c r="M2" s="187"/>
      <c r="N2" s="186"/>
      <c r="O2" s="186"/>
      <c r="P2" s="186"/>
      <c r="Q2" s="186"/>
      <c r="R2" s="197"/>
      <c r="S2" s="197"/>
      <c r="T2" s="197"/>
      <c r="U2" s="197"/>
    </row>
    <row r="3" spans="3:21" ht="22.5" customHeight="1" thickBot="1" x14ac:dyDescent="0.45">
      <c r="C3" s="157"/>
      <c r="D3" s="282" t="s">
        <v>1107</v>
      </c>
      <c r="E3" s="724"/>
      <c r="F3" s="724"/>
      <c r="G3" s="724"/>
      <c r="H3" s="724"/>
      <c r="I3" s="724"/>
      <c r="J3" s="724"/>
      <c r="K3" s="724"/>
      <c r="L3" s="724"/>
      <c r="M3" s="189"/>
      <c r="N3" s="186"/>
      <c r="O3" s="186"/>
      <c r="P3" s="186"/>
      <c r="Q3" s="186"/>
      <c r="R3" s="197"/>
      <c r="S3" s="197"/>
      <c r="T3" s="197"/>
      <c r="U3" s="197"/>
    </row>
    <row r="4" spans="3:21" s="93" customFormat="1" ht="65.099999999999994" customHeight="1" thickBot="1" x14ac:dyDescent="0.4">
      <c r="C4" s="329" t="s">
        <v>631</v>
      </c>
      <c r="D4" s="329" t="s">
        <v>630</v>
      </c>
      <c r="E4" s="551" t="s">
        <v>836</v>
      </c>
      <c r="F4" s="819" t="s">
        <v>811</v>
      </c>
      <c r="G4" s="190" t="s">
        <v>797</v>
      </c>
      <c r="H4" s="612" t="s">
        <v>855</v>
      </c>
      <c r="I4" s="612" t="s">
        <v>856</v>
      </c>
      <c r="J4" s="1070" t="s">
        <v>780</v>
      </c>
      <c r="K4" s="1079" t="s">
        <v>853</v>
      </c>
      <c r="L4" s="1074" t="s">
        <v>854</v>
      </c>
      <c r="M4" s="551" t="s">
        <v>944</v>
      </c>
      <c r="N4" s="1428" t="s">
        <v>981</v>
      </c>
      <c r="O4" s="1428" t="s">
        <v>798</v>
      </c>
      <c r="P4" s="1428" t="s">
        <v>942</v>
      </c>
      <c r="Q4" s="1428" t="s">
        <v>943</v>
      </c>
      <c r="R4" s="1588" t="s">
        <v>1078</v>
      </c>
      <c r="S4" s="1588" t="s">
        <v>1076</v>
      </c>
      <c r="T4" s="1588" t="s">
        <v>798</v>
      </c>
      <c r="U4" s="1696" t="s">
        <v>1097</v>
      </c>
    </row>
    <row r="5" spans="3:21" ht="24.95" customHeight="1" thickBot="1" x14ac:dyDescent="0.35">
      <c r="C5" s="297">
        <v>113</v>
      </c>
      <c r="D5" s="298" t="s">
        <v>417</v>
      </c>
      <c r="E5" s="815">
        <v>37620</v>
      </c>
      <c r="F5" s="857">
        <v>31200</v>
      </c>
      <c r="G5" s="477">
        <f>F5-E5</f>
        <v>-6420</v>
      </c>
      <c r="H5" s="704">
        <v>33840</v>
      </c>
      <c r="I5" s="1158">
        <v>42948</v>
      </c>
      <c r="J5" s="1106">
        <f>[7]Sheet1!$E$178</f>
        <v>40098.800000000003</v>
      </c>
      <c r="K5" s="716">
        <f>H5-J5</f>
        <v>-6258.8000000000029</v>
      </c>
      <c r="L5" s="1075">
        <f>J5/H5</f>
        <v>1.1849527186761231</v>
      </c>
      <c r="M5" s="432">
        <v>36000</v>
      </c>
      <c r="N5" s="332">
        <v>42700</v>
      </c>
      <c r="O5" s="326">
        <f>M5-N5</f>
        <v>-6700</v>
      </c>
      <c r="P5" s="326">
        <v>39000</v>
      </c>
      <c r="Q5" s="485">
        <f>P5</f>
        <v>39000</v>
      </c>
      <c r="R5" s="419">
        <f>Q5</f>
        <v>39000</v>
      </c>
      <c r="S5" s="1106">
        <f>'[14]Summ by Dept'!$E$178</f>
        <v>39900</v>
      </c>
      <c r="T5" s="432">
        <f>S5-R5</f>
        <v>900</v>
      </c>
      <c r="U5" s="1656">
        <v>39000</v>
      </c>
    </row>
    <row r="6" spans="3:21" ht="24.95" customHeight="1" thickBot="1" x14ac:dyDescent="0.35">
      <c r="C6" s="301">
        <v>124</v>
      </c>
      <c r="D6" s="302" t="s">
        <v>418</v>
      </c>
      <c r="E6" s="816">
        <v>2878</v>
      </c>
      <c r="F6" s="722">
        <v>2386.8000000000002</v>
      </c>
      <c r="G6" s="124">
        <f>F6-E6</f>
        <v>-491.19999999999982</v>
      </c>
      <c r="H6" s="705">
        <v>2590</v>
      </c>
      <c r="I6" s="137">
        <f>H6</f>
        <v>2590</v>
      </c>
      <c r="J6" s="1107">
        <f>[7]Sheet1!$K$178</f>
        <v>3067.5600000000004</v>
      </c>
      <c r="K6" s="714">
        <f t="shared" ref="K6:K20" si="0">H6-J6</f>
        <v>-477.5600000000004</v>
      </c>
      <c r="L6" s="1076">
        <f t="shared" ref="L6:L23" si="1">J6/H6</f>
        <v>1.1843861003861005</v>
      </c>
      <c r="M6" s="345">
        <v>2754</v>
      </c>
      <c r="N6" s="333">
        <v>3266.55</v>
      </c>
      <c r="O6" s="326">
        <f t="shared" ref="O6:O22" si="2">M6-N6</f>
        <v>-512.55000000000018</v>
      </c>
      <c r="P6" s="185">
        <v>2984</v>
      </c>
      <c r="Q6" s="185">
        <v>2984</v>
      </c>
      <c r="R6" s="335">
        <v>2984</v>
      </c>
      <c r="S6" s="1107">
        <f>'[14]Summ by Dept'!$K$178</f>
        <v>3052.35</v>
      </c>
      <c r="T6" s="432">
        <f>S6-R6</f>
        <v>68.349999999999909</v>
      </c>
      <c r="U6" s="1658">
        <v>2984</v>
      </c>
    </row>
    <row r="7" spans="3:21" ht="24.95" customHeight="1" thickBot="1" x14ac:dyDescent="0.35">
      <c r="C7" s="301">
        <v>125</v>
      </c>
      <c r="D7" s="302" t="s">
        <v>638</v>
      </c>
      <c r="E7" s="816"/>
      <c r="F7" s="721"/>
      <c r="G7" s="124"/>
      <c r="H7" s="705"/>
      <c r="I7" s="137">
        <f t="shared" ref="I7:I20" si="3">H7</f>
        <v>0</v>
      </c>
      <c r="J7" s="430"/>
      <c r="K7" s="714">
        <f t="shared" si="0"/>
        <v>0</v>
      </c>
      <c r="L7" s="1076"/>
      <c r="M7" s="345"/>
      <c r="N7" s="333"/>
      <c r="O7" s="326">
        <f t="shared" si="2"/>
        <v>0</v>
      </c>
      <c r="P7" s="185"/>
      <c r="Q7" s="185"/>
      <c r="R7" s="335"/>
      <c r="S7" s="430"/>
      <c r="T7" s="430"/>
      <c r="U7" s="1657"/>
    </row>
    <row r="8" spans="3:21" ht="24.95" customHeight="1" thickBot="1" x14ac:dyDescent="0.35">
      <c r="C8" s="301">
        <v>171</v>
      </c>
      <c r="D8" s="302" t="s">
        <v>419</v>
      </c>
      <c r="E8" s="816">
        <v>105</v>
      </c>
      <c r="F8" s="721">
        <v>105</v>
      </c>
      <c r="G8" s="124">
        <f t="shared" ref="G8:G22" si="4">F8-E8</f>
        <v>0</v>
      </c>
      <c r="H8" s="705">
        <v>105</v>
      </c>
      <c r="I8" s="137">
        <f t="shared" si="3"/>
        <v>105</v>
      </c>
      <c r="J8" s="1107">
        <f>[7]Sheet1!$AD$178</f>
        <v>50</v>
      </c>
      <c r="K8" s="714">
        <f t="shared" si="0"/>
        <v>55</v>
      </c>
      <c r="L8" s="1076">
        <f t="shared" si="1"/>
        <v>0.47619047619047616</v>
      </c>
      <c r="M8" s="345">
        <v>50</v>
      </c>
      <c r="N8" s="333">
        <v>105</v>
      </c>
      <c r="O8" s="326">
        <f t="shared" si="2"/>
        <v>-55</v>
      </c>
      <c r="P8" s="185">
        <v>105</v>
      </c>
      <c r="Q8" s="185">
        <v>105</v>
      </c>
      <c r="R8" s="335">
        <v>105</v>
      </c>
      <c r="S8" s="1107">
        <f>'[14]Summ by Dept'!$AD$178</f>
        <v>105</v>
      </c>
      <c r="T8" s="432">
        <f>S8-R8</f>
        <v>0</v>
      </c>
      <c r="U8" s="1658">
        <f>'[14]Summ by Dept'!$AD$178</f>
        <v>105</v>
      </c>
    </row>
    <row r="9" spans="3:21" ht="24.95" customHeight="1" thickBot="1" x14ac:dyDescent="0.35">
      <c r="C9" s="301">
        <v>153</v>
      </c>
      <c r="D9" s="302" t="s">
        <v>402</v>
      </c>
      <c r="E9" s="816"/>
      <c r="F9" s="721"/>
      <c r="G9" s="124">
        <f t="shared" si="4"/>
        <v>0</v>
      </c>
      <c r="H9" s="705"/>
      <c r="I9" s="137">
        <f t="shared" si="3"/>
        <v>0</v>
      </c>
      <c r="J9" s="430"/>
      <c r="K9" s="714">
        <f t="shared" si="0"/>
        <v>0</v>
      </c>
      <c r="L9" s="1076"/>
      <c r="M9" s="345"/>
      <c r="N9" s="333"/>
      <c r="O9" s="326">
        <f t="shared" si="2"/>
        <v>0</v>
      </c>
      <c r="P9" s="185"/>
      <c r="Q9" s="185"/>
      <c r="R9" s="335"/>
      <c r="S9" s="430"/>
      <c r="T9" s="430"/>
      <c r="U9" s="1657"/>
    </row>
    <row r="10" spans="3:21" ht="24.95" customHeight="1" thickBot="1" x14ac:dyDescent="0.35">
      <c r="C10" s="301">
        <v>211</v>
      </c>
      <c r="D10" s="302" t="s">
        <v>409</v>
      </c>
      <c r="E10" s="816">
        <v>200</v>
      </c>
      <c r="F10" s="722"/>
      <c r="G10" s="124">
        <f t="shared" si="4"/>
        <v>-200</v>
      </c>
      <c r="H10" s="705">
        <v>200</v>
      </c>
      <c r="I10" s="137">
        <f t="shared" si="3"/>
        <v>200</v>
      </c>
      <c r="J10" s="1107">
        <f>[7]Sheet1!$AS$178</f>
        <v>9.9499999999999993</v>
      </c>
      <c r="K10" s="714">
        <f t="shared" si="0"/>
        <v>190.05</v>
      </c>
      <c r="L10" s="1076">
        <f t="shared" si="1"/>
        <v>4.9749999999999996E-2</v>
      </c>
      <c r="M10" s="345">
        <v>25</v>
      </c>
      <c r="N10" s="333">
        <v>386.84</v>
      </c>
      <c r="O10" s="326">
        <f t="shared" si="2"/>
        <v>-361.84</v>
      </c>
      <c r="P10" s="185">
        <v>200</v>
      </c>
      <c r="Q10" s="185">
        <v>200</v>
      </c>
      <c r="R10" s="335">
        <v>200</v>
      </c>
      <c r="S10" s="1107">
        <f>'[14]Summ by Dept'!$AS$178</f>
        <v>540.14</v>
      </c>
      <c r="T10" s="432">
        <f>S10-R10</f>
        <v>340.14</v>
      </c>
      <c r="U10" s="1658">
        <v>200</v>
      </c>
    </row>
    <row r="11" spans="3:21" ht="24.95" customHeight="1" thickBot="1" x14ac:dyDescent="0.35">
      <c r="C11" s="301">
        <v>216</v>
      </c>
      <c r="D11" s="302" t="s">
        <v>403</v>
      </c>
      <c r="E11" s="816"/>
      <c r="F11" s="721"/>
      <c r="G11" s="124">
        <f t="shared" si="4"/>
        <v>0</v>
      </c>
      <c r="H11" s="705"/>
      <c r="I11" s="137">
        <f t="shared" si="3"/>
        <v>0</v>
      </c>
      <c r="J11" s="430"/>
      <c r="K11" s="714">
        <f t="shared" si="0"/>
        <v>0</v>
      </c>
      <c r="L11" s="1076"/>
      <c r="M11" s="345"/>
      <c r="N11" s="333"/>
      <c r="O11" s="326">
        <f t="shared" si="2"/>
        <v>0</v>
      </c>
      <c r="P11" s="185"/>
      <c r="Q11" s="185"/>
      <c r="R11" s="335"/>
      <c r="S11" s="430"/>
      <c r="T11" s="430"/>
      <c r="U11" s="1657"/>
    </row>
    <row r="12" spans="3:21" ht="24.95" customHeight="1" thickBot="1" x14ac:dyDescent="0.35">
      <c r="C12" s="301">
        <v>220</v>
      </c>
      <c r="D12" s="302" t="s">
        <v>358</v>
      </c>
      <c r="E12" s="816">
        <v>58</v>
      </c>
      <c r="F12" s="721">
        <v>60</v>
      </c>
      <c r="G12" s="124">
        <f t="shared" si="4"/>
        <v>2</v>
      </c>
      <c r="H12" s="705">
        <v>60</v>
      </c>
      <c r="I12" s="137">
        <f t="shared" si="3"/>
        <v>60</v>
      </c>
      <c r="J12" s="1107">
        <f>[7]Sheet1!$BA$178</f>
        <v>58</v>
      </c>
      <c r="K12" s="714">
        <f t="shared" si="0"/>
        <v>2</v>
      </c>
      <c r="L12" s="1076">
        <f t="shared" si="1"/>
        <v>0.96666666666666667</v>
      </c>
      <c r="M12" s="345">
        <v>60</v>
      </c>
      <c r="N12" s="333">
        <v>800</v>
      </c>
      <c r="O12" s="326">
        <f t="shared" si="2"/>
        <v>-740</v>
      </c>
      <c r="P12" s="185">
        <v>600</v>
      </c>
      <c r="Q12" s="185">
        <v>600</v>
      </c>
      <c r="R12" s="335">
        <v>600</v>
      </c>
      <c r="S12" s="1107">
        <f>'[14]Summ by Dept'!$BA$178</f>
        <v>64</v>
      </c>
      <c r="T12" s="432">
        <f>S12-R12</f>
        <v>-536</v>
      </c>
      <c r="U12" s="1658">
        <f>'[14]Summ by Dept'!$BA$178</f>
        <v>64</v>
      </c>
    </row>
    <row r="13" spans="3:21" ht="24.95" customHeight="1" thickBot="1" x14ac:dyDescent="0.35">
      <c r="C13" s="301">
        <v>231</v>
      </c>
      <c r="D13" s="302" t="s">
        <v>379</v>
      </c>
      <c r="E13" s="816"/>
      <c r="F13" s="721"/>
      <c r="G13" s="124">
        <f t="shared" si="4"/>
        <v>0</v>
      </c>
      <c r="H13" s="705"/>
      <c r="I13" s="137">
        <f t="shared" si="3"/>
        <v>0</v>
      </c>
      <c r="J13" s="430"/>
      <c r="K13" s="714">
        <f t="shared" si="0"/>
        <v>0</v>
      </c>
      <c r="L13" s="1076"/>
      <c r="M13" s="345"/>
      <c r="N13" s="333"/>
      <c r="O13" s="326">
        <f t="shared" si="2"/>
        <v>0</v>
      </c>
      <c r="P13" s="185"/>
      <c r="Q13" s="185"/>
      <c r="R13" s="335"/>
      <c r="S13" s="430"/>
      <c r="T13" s="430"/>
      <c r="U13" s="1657"/>
    </row>
    <row r="14" spans="3:21" ht="24.95" customHeight="1" thickBot="1" x14ac:dyDescent="0.35">
      <c r="C14" s="301">
        <v>240</v>
      </c>
      <c r="D14" s="302" t="s">
        <v>316</v>
      </c>
      <c r="E14" s="816"/>
      <c r="F14" s="721"/>
      <c r="G14" s="124">
        <f t="shared" si="4"/>
        <v>0</v>
      </c>
      <c r="H14" s="705"/>
      <c r="I14" s="137">
        <f t="shared" si="3"/>
        <v>0</v>
      </c>
      <c r="J14" s="430"/>
      <c r="K14" s="714">
        <f t="shared" si="0"/>
        <v>0</v>
      </c>
      <c r="L14" s="1076"/>
      <c r="M14" s="345"/>
      <c r="N14" s="333"/>
      <c r="O14" s="326">
        <f t="shared" si="2"/>
        <v>0</v>
      </c>
      <c r="P14" s="185"/>
      <c r="Q14" s="185"/>
      <c r="R14" s="335"/>
      <c r="S14" s="430"/>
      <c r="T14" s="430"/>
      <c r="U14" s="1657"/>
    </row>
    <row r="15" spans="3:21" ht="24.95" customHeight="1" thickBot="1" x14ac:dyDescent="0.35">
      <c r="C15" s="301">
        <v>251</v>
      </c>
      <c r="D15" s="302" t="s">
        <v>98</v>
      </c>
      <c r="E15" s="816">
        <v>150</v>
      </c>
      <c r="F15" s="722">
        <v>179.32</v>
      </c>
      <c r="G15" s="124">
        <f t="shared" si="4"/>
        <v>29.319999999999993</v>
      </c>
      <c r="H15" s="705">
        <v>180</v>
      </c>
      <c r="I15" s="137">
        <f t="shared" si="3"/>
        <v>180</v>
      </c>
      <c r="J15" s="1107">
        <f>[7]Sheet1!$BN$178</f>
        <v>197</v>
      </c>
      <c r="K15" s="714">
        <f t="shared" si="0"/>
        <v>-17</v>
      </c>
      <c r="L15" s="1076">
        <f t="shared" si="1"/>
        <v>1.0944444444444446</v>
      </c>
      <c r="M15" s="345">
        <v>235</v>
      </c>
      <c r="N15" s="333">
        <v>240.38</v>
      </c>
      <c r="O15" s="326">
        <f t="shared" si="2"/>
        <v>-5.3799999999999955</v>
      </c>
      <c r="P15" s="185">
        <v>235</v>
      </c>
      <c r="Q15" s="185">
        <v>235</v>
      </c>
      <c r="R15" s="335">
        <v>235</v>
      </c>
      <c r="S15" s="1107">
        <f>'[14]Summ by Dept'!$BN$178</f>
        <v>63.66</v>
      </c>
      <c r="T15" s="432">
        <f t="shared" ref="T15:T20" si="5">S15-R15</f>
        <v>-171.34</v>
      </c>
      <c r="U15" s="1658">
        <v>64</v>
      </c>
    </row>
    <row r="16" spans="3:21" s="62" customFormat="1" ht="24.95" customHeight="1" thickBot="1" x14ac:dyDescent="0.35">
      <c r="C16" s="352">
        <v>252</v>
      </c>
      <c r="D16" s="299" t="s">
        <v>113</v>
      </c>
      <c r="E16" s="923">
        <v>100</v>
      </c>
      <c r="F16" s="722">
        <f>216.38-27.1</f>
        <v>189.28</v>
      </c>
      <c r="G16" s="124">
        <f t="shared" si="4"/>
        <v>89.28</v>
      </c>
      <c r="H16" s="970">
        <v>200</v>
      </c>
      <c r="I16" s="137">
        <f t="shared" si="3"/>
        <v>200</v>
      </c>
      <c r="J16" s="1218">
        <f>[7]Sheet1!$BO$178</f>
        <v>507.03</v>
      </c>
      <c r="K16" s="714">
        <f t="shared" si="0"/>
        <v>-307.02999999999997</v>
      </c>
      <c r="L16" s="1076">
        <f t="shared" si="1"/>
        <v>2.5351499999999998</v>
      </c>
      <c r="M16" s="433">
        <v>300</v>
      </c>
      <c r="N16" s="1110"/>
      <c r="O16" s="326">
        <f t="shared" si="2"/>
        <v>300</v>
      </c>
      <c r="P16" s="188">
        <v>300</v>
      </c>
      <c r="Q16" s="188">
        <v>300</v>
      </c>
      <c r="R16" s="397">
        <v>300</v>
      </c>
      <c r="S16" s="1218">
        <f>'[14]Summ by Dept'!$BO$178</f>
        <v>186.01999999999998</v>
      </c>
      <c r="T16" s="432">
        <f t="shared" si="5"/>
        <v>-113.98000000000002</v>
      </c>
      <c r="U16" s="1658">
        <v>186</v>
      </c>
    </row>
    <row r="17" spans="3:21" ht="24.95" customHeight="1" thickBot="1" x14ac:dyDescent="0.35">
      <c r="C17" s="301">
        <v>253</v>
      </c>
      <c r="D17" s="302" t="s">
        <v>420</v>
      </c>
      <c r="E17" s="816">
        <v>75</v>
      </c>
      <c r="F17" s="722"/>
      <c r="G17" s="124">
        <f t="shared" si="4"/>
        <v>-75</v>
      </c>
      <c r="H17" s="705"/>
      <c r="I17" s="137">
        <f t="shared" si="3"/>
        <v>0</v>
      </c>
      <c r="J17" s="430"/>
      <c r="K17" s="714">
        <f t="shared" si="0"/>
        <v>0</v>
      </c>
      <c r="L17" s="1076"/>
      <c r="M17" s="345"/>
      <c r="N17" s="333"/>
      <c r="O17" s="326">
        <f t="shared" si="2"/>
        <v>0</v>
      </c>
      <c r="P17" s="185"/>
      <c r="Q17" s="185"/>
      <c r="R17" s="335"/>
      <c r="S17" s="430"/>
      <c r="T17" s="430"/>
      <c r="U17" s="1657"/>
    </row>
    <row r="18" spans="3:21" ht="24.95" customHeight="1" thickBot="1" x14ac:dyDescent="0.35">
      <c r="C18" s="301">
        <v>262</v>
      </c>
      <c r="D18" s="302" t="s">
        <v>421</v>
      </c>
      <c r="E18" s="816">
        <v>250</v>
      </c>
      <c r="F18" s="722">
        <v>203.4</v>
      </c>
      <c r="G18" s="124">
        <f t="shared" si="4"/>
        <v>-46.599999999999994</v>
      </c>
      <c r="H18" s="705">
        <v>250</v>
      </c>
      <c r="I18" s="137">
        <f t="shared" si="3"/>
        <v>250</v>
      </c>
      <c r="J18" s="1107">
        <f>[7]Sheet1!$BT$178</f>
        <v>374.99</v>
      </c>
      <c r="K18" s="714">
        <f t="shared" si="0"/>
        <v>-124.99000000000001</v>
      </c>
      <c r="L18" s="1076">
        <f t="shared" si="1"/>
        <v>1.49996</v>
      </c>
      <c r="M18" s="345">
        <v>375</v>
      </c>
      <c r="N18" s="333">
        <v>247.97</v>
      </c>
      <c r="O18" s="326">
        <f t="shared" si="2"/>
        <v>127.03</v>
      </c>
      <c r="P18" s="185">
        <v>375</v>
      </c>
      <c r="Q18" s="185">
        <v>375</v>
      </c>
      <c r="R18" s="335">
        <v>375</v>
      </c>
      <c r="S18" s="1107">
        <f>'[14]Summ by Dept'!$BT$178</f>
        <v>385.6</v>
      </c>
      <c r="T18" s="432">
        <f t="shared" si="5"/>
        <v>10.600000000000023</v>
      </c>
      <c r="U18" s="1658">
        <v>375</v>
      </c>
    </row>
    <row r="19" spans="3:21" ht="24.95" customHeight="1" thickBot="1" x14ac:dyDescent="0.35">
      <c r="C19" s="301">
        <v>264</v>
      </c>
      <c r="D19" s="302" t="s">
        <v>386</v>
      </c>
      <c r="E19" s="816">
        <v>300</v>
      </c>
      <c r="F19" s="721">
        <v>36.47</v>
      </c>
      <c r="G19" s="124">
        <f t="shared" si="4"/>
        <v>-263.52999999999997</v>
      </c>
      <c r="H19" s="705">
        <v>100</v>
      </c>
      <c r="I19" s="137">
        <f t="shared" si="3"/>
        <v>100</v>
      </c>
      <c r="J19" s="1107">
        <f>[7]Sheet1!$BV$178</f>
        <v>230.5</v>
      </c>
      <c r="K19" s="714">
        <f t="shared" si="0"/>
        <v>-130.5</v>
      </c>
      <c r="L19" s="1076">
        <f t="shared" si="1"/>
        <v>2.3050000000000002</v>
      </c>
      <c r="M19" s="345">
        <v>200</v>
      </c>
      <c r="N19" s="333">
        <v>70</v>
      </c>
      <c r="O19" s="326">
        <f t="shared" si="2"/>
        <v>130</v>
      </c>
      <c r="P19" s="185">
        <v>200</v>
      </c>
      <c r="Q19" s="185">
        <v>200</v>
      </c>
      <c r="R19" s="335">
        <v>200</v>
      </c>
      <c r="S19" s="1107">
        <f>'[14]Summ by Dept'!$BV$178</f>
        <v>96.94</v>
      </c>
      <c r="T19" s="432">
        <f t="shared" si="5"/>
        <v>-103.06</v>
      </c>
      <c r="U19" s="1658">
        <v>97</v>
      </c>
    </row>
    <row r="20" spans="3:21" ht="24.95" customHeight="1" thickBot="1" x14ac:dyDescent="0.35">
      <c r="C20" s="301">
        <v>265</v>
      </c>
      <c r="D20" s="302" t="s">
        <v>781</v>
      </c>
      <c r="E20" s="816">
        <v>75</v>
      </c>
      <c r="F20" s="721"/>
      <c r="G20" s="124">
        <f t="shared" si="4"/>
        <v>-75</v>
      </c>
      <c r="H20" s="705">
        <v>75</v>
      </c>
      <c r="I20" s="137">
        <f t="shared" si="3"/>
        <v>75</v>
      </c>
      <c r="J20" s="430"/>
      <c r="K20" s="714">
        <f t="shared" si="0"/>
        <v>75</v>
      </c>
      <c r="L20" s="1076">
        <f t="shared" si="1"/>
        <v>0</v>
      </c>
      <c r="M20" s="345">
        <v>75</v>
      </c>
      <c r="N20" s="333"/>
      <c r="O20" s="326">
        <f t="shared" si="2"/>
        <v>75</v>
      </c>
      <c r="P20" s="185">
        <v>75</v>
      </c>
      <c r="Q20" s="185">
        <v>75</v>
      </c>
      <c r="R20" s="335">
        <v>75</v>
      </c>
      <c r="S20" s="430"/>
      <c r="T20" s="432">
        <f t="shared" si="5"/>
        <v>-75</v>
      </c>
      <c r="U20" s="1657">
        <v>75</v>
      </c>
    </row>
    <row r="21" spans="3:21" ht="24.95" customHeight="1" thickBot="1" x14ac:dyDescent="0.35">
      <c r="C21" s="301">
        <v>271</v>
      </c>
      <c r="D21" s="302" t="s">
        <v>318</v>
      </c>
      <c r="E21" s="816"/>
      <c r="F21" s="721"/>
      <c r="G21" s="124">
        <f t="shared" si="4"/>
        <v>0</v>
      </c>
      <c r="H21" s="705"/>
      <c r="I21" s="137"/>
      <c r="J21" s="430"/>
      <c r="K21" s="430"/>
      <c r="L21" s="1081"/>
      <c r="M21" s="345"/>
      <c r="N21" s="333"/>
      <c r="O21" s="326">
        <f t="shared" si="2"/>
        <v>0</v>
      </c>
      <c r="P21" s="185"/>
      <c r="Q21" s="303"/>
      <c r="R21" s="335"/>
      <c r="S21" s="430"/>
      <c r="T21" s="430"/>
      <c r="U21" s="1504"/>
    </row>
    <row r="22" spans="3:21" ht="24.95" customHeight="1" thickBot="1" x14ac:dyDescent="0.35">
      <c r="C22" s="971">
        <v>470</v>
      </c>
      <c r="D22" s="972" t="s">
        <v>731</v>
      </c>
      <c r="E22" s="973"/>
      <c r="F22" s="974"/>
      <c r="G22" s="124">
        <f t="shared" si="4"/>
        <v>0</v>
      </c>
      <c r="H22" s="975"/>
      <c r="I22" s="1157"/>
      <c r="J22" s="976"/>
      <c r="K22" s="916"/>
      <c r="L22" s="1246"/>
      <c r="M22" s="345"/>
      <c r="N22" s="1321"/>
      <c r="O22" s="326">
        <f t="shared" si="2"/>
        <v>0</v>
      </c>
      <c r="P22" s="191"/>
      <c r="Q22" s="1447"/>
      <c r="R22" s="1515"/>
      <c r="S22" s="463"/>
      <c r="T22" s="463"/>
      <c r="U22" s="1504"/>
    </row>
    <row r="23" spans="3:21" ht="18.75" thickBot="1" x14ac:dyDescent="0.4">
      <c r="C23" s="978"/>
      <c r="D23" s="364" t="s">
        <v>415</v>
      </c>
      <c r="E23" s="221">
        <f>SUM(E5:E22)</f>
        <v>41811</v>
      </c>
      <c r="F23" s="221">
        <f>SUM(F5:F22)</f>
        <v>34360.270000000004</v>
      </c>
      <c r="G23" s="977">
        <f>F23-E23</f>
        <v>-7450.7299999999959</v>
      </c>
      <c r="H23" s="221">
        <f>SUM(H5:H22)</f>
        <v>37600</v>
      </c>
      <c r="I23" s="221">
        <f>SUM(I5:I22)</f>
        <v>46708</v>
      </c>
      <c r="J23" s="221">
        <f t="shared" ref="J23:U23" si="6">SUM(J5:J22)</f>
        <v>44593.829999999994</v>
      </c>
      <c r="K23" s="557">
        <f t="shared" si="6"/>
        <v>-6993.8300000000027</v>
      </c>
      <c r="L23" s="1082">
        <f t="shared" si="1"/>
        <v>1.1860061170212763</v>
      </c>
      <c r="M23" s="221">
        <f t="shared" si="6"/>
        <v>40074</v>
      </c>
      <c r="N23" s="1453">
        <f t="shared" si="6"/>
        <v>47816.74</v>
      </c>
      <c r="O23" s="1453">
        <f>M23-N23</f>
        <v>-7742.739999999998</v>
      </c>
      <c r="P23" s="1453">
        <f t="shared" si="6"/>
        <v>44074</v>
      </c>
      <c r="Q23" s="1453">
        <f t="shared" si="6"/>
        <v>44074</v>
      </c>
      <c r="R23" s="1665">
        <f t="shared" si="6"/>
        <v>44074</v>
      </c>
      <c r="S23" s="1665">
        <f t="shared" si="6"/>
        <v>44393.71</v>
      </c>
      <c r="T23" s="1665">
        <f t="shared" si="6"/>
        <v>319.70999999999975</v>
      </c>
      <c r="U23" s="1713">
        <f t="shared" si="6"/>
        <v>43150</v>
      </c>
    </row>
    <row r="25" spans="3:21" ht="21" x14ac:dyDescent="0.4">
      <c r="D25" s="379"/>
    </row>
  </sheetData>
  <phoneticPr fontId="20" type="noConversion"/>
  <pageMargins left="0.75" right="0.75" top="1" bottom="1" header="0.5" footer="0.5"/>
  <pageSetup paperSize="5" scale="77" fitToHeight="0" orientation="portrait" r:id="rId1"/>
  <headerFooter alignWithMargins="0">
    <oddHeader>&amp;RPAGE 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64"/>
  <sheetViews>
    <sheetView zoomScale="110" zoomScaleNormal="110" workbookViewId="0">
      <pane xSplit="1" ySplit="4" topLeftCell="B12" activePane="bottomRight" state="frozen"/>
      <selection pane="topRight" activeCell="B1" sqref="B1"/>
      <selection pane="bottomLeft" activeCell="A6" sqref="A6"/>
      <selection pane="bottomRight" activeCell="V13" sqref="V13"/>
    </sheetView>
  </sheetViews>
  <sheetFormatPr defaultColWidth="9" defaultRowHeight="15" x14ac:dyDescent="0.25"/>
  <cols>
    <col min="1" max="1" width="8.5703125" style="62" bestFit="1" customWidth="1"/>
    <col min="2" max="2" width="54.5703125" style="62" customWidth="1"/>
    <col min="3" max="3" width="17.28515625" style="62" hidden="1" customWidth="1"/>
    <col min="4" max="4" width="17.42578125" style="726" hidden="1" customWidth="1"/>
    <col min="5" max="5" width="14.7109375" style="62" hidden="1" customWidth="1"/>
    <col min="6" max="7" width="18.7109375" style="62" hidden="1" customWidth="1"/>
    <col min="8" max="8" width="14.7109375" style="62" hidden="1" customWidth="1"/>
    <col min="9" max="9" width="12.5703125" style="62" hidden="1" customWidth="1"/>
    <col min="10" max="10" width="16.85546875" style="1105" hidden="1" customWidth="1"/>
    <col min="11" max="11" width="16.85546875" style="1236" hidden="1" customWidth="1"/>
    <col min="12" max="12" width="17.5703125" style="1236" hidden="1" customWidth="1"/>
    <col min="13" max="13" width="14.140625" style="1236" hidden="1" customWidth="1"/>
    <col min="14" max="14" width="13.5703125" style="1236" hidden="1" customWidth="1"/>
    <col min="15" max="15" width="14.140625" style="1236" hidden="1" customWidth="1"/>
    <col min="16" max="16" width="21" style="1236" hidden="1" customWidth="1"/>
    <col min="17" max="17" width="14" style="76" hidden="1" customWidth="1"/>
    <col min="18" max="18" width="21.140625" style="62" hidden="1" customWidth="1"/>
    <col min="19" max="19" width="19.85546875" style="62" customWidth="1"/>
    <col min="20" max="20" width="14.7109375" style="62" customWidth="1"/>
    <col min="21" max="21" width="14.28515625" style="62" hidden="1" customWidth="1"/>
    <col min="22" max="22" width="16.28515625" style="1675" customWidth="1"/>
    <col min="23" max="16384" width="9" style="62"/>
  </cols>
  <sheetData>
    <row r="1" spans="1:22" ht="22.5" x14ac:dyDescent="0.4">
      <c r="A1" s="423"/>
      <c r="B1" s="423" t="s">
        <v>572</v>
      </c>
      <c r="C1" s="2"/>
      <c r="D1" s="122"/>
      <c r="E1" s="122"/>
      <c r="F1" s="958">
        <f ca="1">TODAY()</f>
        <v>44259</v>
      </c>
      <c r="G1" s="958"/>
      <c r="H1" s="958"/>
      <c r="I1" s="958"/>
      <c r="J1" s="958"/>
      <c r="K1" s="919"/>
      <c r="L1" s="919"/>
      <c r="M1" s="919"/>
      <c r="N1" s="919"/>
      <c r="O1" s="919"/>
      <c r="P1" s="919"/>
      <c r="Q1" s="183"/>
      <c r="R1" s="186"/>
      <c r="S1" s="186"/>
      <c r="T1" s="186"/>
      <c r="U1" s="186"/>
      <c r="V1" s="202"/>
    </row>
    <row r="2" spans="1:22" ht="22.5" x14ac:dyDescent="0.4">
      <c r="A2" s="20"/>
      <c r="B2" s="1078" t="s">
        <v>1155</v>
      </c>
      <c r="C2" s="5"/>
      <c r="D2" s="123"/>
      <c r="E2" s="123"/>
      <c r="F2" s="959">
        <f ca="1">NOW()</f>
        <v>44259.508154745374</v>
      </c>
      <c r="G2" s="959"/>
      <c r="H2" s="959"/>
      <c r="I2" s="959"/>
      <c r="J2" s="959"/>
      <c r="K2" s="919"/>
      <c r="L2" s="919"/>
      <c r="M2" s="919"/>
      <c r="N2" s="919"/>
      <c r="O2" s="919"/>
      <c r="P2" s="919"/>
      <c r="Q2" s="186"/>
      <c r="R2" s="186"/>
      <c r="S2" s="186"/>
      <c r="T2" s="186"/>
      <c r="U2" s="186"/>
      <c r="V2" s="202"/>
    </row>
    <row r="3" spans="1:22" ht="23.25" thickBot="1" x14ac:dyDescent="0.45">
      <c r="A3" s="157"/>
      <c r="B3" s="282" t="s">
        <v>1107</v>
      </c>
      <c r="C3" s="8"/>
      <c r="D3" s="123"/>
      <c r="E3" s="123"/>
      <c r="F3" s="123"/>
      <c r="G3" s="123"/>
      <c r="H3" s="123"/>
      <c r="I3" s="123"/>
      <c r="J3" s="123"/>
      <c r="K3" s="5"/>
      <c r="L3" s="5"/>
      <c r="M3" s="5"/>
      <c r="N3" s="5"/>
      <c r="O3" s="5"/>
      <c r="P3" s="5"/>
      <c r="Q3" s="186"/>
      <c r="R3" s="186"/>
      <c r="S3" s="186"/>
      <c r="T3" s="186"/>
      <c r="U3" s="186"/>
      <c r="V3" s="202"/>
    </row>
    <row r="4" spans="1:22" ht="65.099999999999994" customHeight="1" thickBot="1" x14ac:dyDescent="0.4">
      <c r="A4" s="329" t="s">
        <v>631</v>
      </c>
      <c r="B4" s="329" t="s">
        <v>630</v>
      </c>
      <c r="C4" s="551" t="s">
        <v>836</v>
      </c>
      <c r="D4" s="819" t="s">
        <v>811</v>
      </c>
      <c r="E4" s="830" t="s">
        <v>797</v>
      </c>
      <c r="F4" s="612" t="s">
        <v>852</v>
      </c>
      <c r="G4" s="612" t="s">
        <v>857</v>
      </c>
      <c r="H4" s="1070" t="s">
        <v>780</v>
      </c>
      <c r="I4" s="1079" t="s">
        <v>853</v>
      </c>
      <c r="J4" s="1074" t="s">
        <v>854</v>
      </c>
      <c r="K4" s="612" t="s">
        <v>888</v>
      </c>
      <c r="L4" s="551" t="s">
        <v>944</v>
      </c>
      <c r="M4" s="1428" t="s">
        <v>981</v>
      </c>
      <c r="N4" s="1428" t="s">
        <v>798</v>
      </c>
      <c r="O4" s="1428" t="s">
        <v>942</v>
      </c>
      <c r="P4" s="1428" t="s">
        <v>963</v>
      </c>
      <c r="Q4" s="1428" t="s">
        <v>943</v>
      </c>
      <c r="R4" s="1588" t="s">
        <v>1014</v>
      </c>
      <c r="S4" s="1588" t="s">
        <v>1074</v>
      </c>
      <c r="T4" s="1588" t="s">
        <v>1076</v>
      </c>
      <c r="U4" s="1588" t="s">
        <v>798</v>
      </c>
      <c r="V4" s="1710" t="s">
        <v>1097</v>
      </c>
    </row>
    <row r="5" spans="1:22" ht="24.95" customHeight="1" thickBot="1" x14ac:dyDescent="0.35">
      <c r="A5" s="290" t="s">
        <v>382</v>
      </c>
      <c r="B5" s="291" t="s">
        <v>383</v>
      </c>
      <c r="C5" s="924">
        <v>5000</v>
      </c>
      <c r="D5" s="480">
        <v>5000</v>
      </c>
      <c r="E5" s="1108">
        <f>D5-C5</f>
        <v>0</v>
      </c>
      <c r="F5" s="1109">
        <v>5000</v>
      </c>
      <c r="G5" s="337">
        <v>5000</v>
      </c>
      <c r="H5" s="337">
        <f>[7]Sheet1!$C$208</f>
        <v>4583.37</v>
      </c>
      <c r="I5" s="337">
        <f>F5-H5</f>
        <v>416.63000000000011</v>
      </c>
      <c r="J5" s="1111">
        <f>H5/F5</f>
        <v>0.91667399999999999</v>
      </c>
      <c r="K5" s="1239"/>
      <c r="L5" s="1240">
        <v>5000</v>
      </c>
      <c r="M5" s="1109">
        <v>5000</v>
      </c>
      <c r="N5" s="337">
        <f>L5-M5</f>
        <v>0</v>
      </c>
      <c r="O5" s="337">
        <v>5000</v>
      </c>
      <c r="P5" s="1108">
        <v>5000</v>
      </c>
      <c r="Q5" s="546">
        <v>5000</v>
      </c>
      <c r="R5" s="1449">
        <v>5000</v>
      </c>
      <c r="S5" s="1109">
        <f>R5</f>
        <v>5000</v>
      </c>
      <c r="T5" s="337">
        <f>'[14]Summ by Dept'!$C$208</f>
        <v>5000</v>
      </c>
      <c r="U5" s="546">
        <f>T5-S5</f>
        <v>0</v>
      </c>
      <c r="V5" s="1711">
        <v>5000</v>
      </c>
    </row>
    <row r="6" spans="1:22" ht="24.95" customHeight="1" thickBot="1" x14ac:dyDescent="0.35">
      <c r="A6" s="292" t="s">
        <v>53</v>
      </c>
      <c r="B6" s="293" t="s">
        <v>99</v>
      </c>
      <c r="C6" s="923">
        <v>65000</v>
      </c>
      <c r="D6" s="481">
        <v>62586.01</v>
      </c>
      <c r="E6" s="397">
        <f>D6-C6</f>
        <v>-2413.989999999998</v>
      </c>
      <c r="F6" s="1110">
        <v>65000</v>
      </c>
      <c r="G6" s="188">
        <v>65000</v>
      </c>
      <c r="H6" s="188">
        <f>[7]Sheet1!$D$208</f>
        <v>57786.713999999993</v>
      </c>
      <c r="I6" s="188">
        <f t="shared" ref="I6:I58" si="0">F6-H6</f>
        <v>7213.2860000000073</v>
      </c>
      <c r="J6" s="1136">
        <f t="shared" ref="J6:J58" si="1">H6/F6</f>
        <v>0.88902636923076916</v>
      </c>
      <c r="K6" s="1193"/>
      <c r="L6" s="433">
        <v>65000</v>
      </c>
      <c r="M6" s="1110">
        <v>64000</v>
      </c>
      <c r="N6" s="337">
        <f t="shared" ref="N6:N58" si="2">L6-M6</f>
        <v>1000</v>
      </c>
      <c r="O6" s="188">
        <v>66625</v>
      </c>
      <c r="P6" s="397">
        <v>66625</v>
      </c>
      <c r="Q6" s="300">
        <v>66625</v>
      </c>
      <c r="R6" s="1449">
        <v>66625</v>
      </c>
      <c r="S6" s="1110">
        <f>R6</f>
        <v>66625</v>
      </c>
      <c r="T6" s="188">
        <v>66625</v>
      </c>
      <c r="U6" s="546">
        <f>T6-S6</f>
        <v>0</v>
      </c>
      <c r="V6" s="1711">
        <v>66625</v>
      </c>
    </row>
    <row r="7" spans="1:22" ht="24.95" customHeight="1" thickBot="1" x14ac:dyDescent="0.35">
      <c r="A7" s="292" t="s">
        <v>76</v>
      </c>
      <c r="B7" s="293" t="s">
        <v>100</v>
      </c>
      <c r="C7" s="923"/>
      <c r="D7" s="481"/>
      <c r="E7" s="986"/>
      <c r="F7" s="1110"/>
      <c r="G7" s="188"/>
      <c r="H7" s="188"/>
      <c r="I7" s="188">
        <f t="shared" si="0"/>
        <v>0</v>
      </c>
      <c r="J7" s="1136"/>
      <c r="K7" s="1193"/>
      <c r="L7" s="433"/>
      <c r="M7" s="1110"/>
      <c r="N7" s="337">
        <f t="shared" si="2"/>
        <v>0</v>
      </c>
      <c r="O7" s="188"/>
      <c r="P7" s="397"/>
      <c r="Q7" s="300"/>
      <c r="S7" s="1316"/>
      <c r="T7" s="180"/>
      <c r="U7" s="1667"/>
      <c r="V7" s="1711"/>
    </row>
    <row r="8" spans="1:22" ht="24.95" customHeight="1" thickBot="1" x14ac:dyDescent="0.35">
      <c r="A8" s="292" t="s">
        <v>54</v>
      </c>
      <c r="B8" s="293" t="s">
        <v>101</v>
      </c>
      <c r="C8" s="923">
        <v>358230</v>
      </c>
      <c r="D8" s="481">
        <v>323328.63</v>
      </c>
      <c r="E8" s="397">
        <f t="shared" ref="E8:E58" si="3">D8-C8</f>
        <v>-34901.369999999995</v>
      </c>
      <c r="F8" s="1110">
        <v>374149</v>
      </c>
      <c r="G8" s="1135">
        <f>374149+4133.51</f>
        <v>378282.51</v>
      </c>
      <c r="H8" s="188">
        <f>[7]Sheet1!$E$208</f>
        <v>335278.17200000002</v>
      </c>
      <c r="I8" s="188">
        <f>G8-H8</f>
        <v>43004.337999999989</v>
      </c>
      <c r="J8" s="1136">
        <f>H8/G8</f>
        <v>0.88631687465539977</v>
      </c>
      <c r="K8" s="1245">
        <v>20000</v>
      </c>
      <c r="L8" s="1241">
        <f>365036+4815+4297</f>
        <v>374148</v>
      </c>
      <c r="M8" s="1454">
        <v>345813.56</v>
      </c>
      <c r="N8" s="337">
        <f t="shared" si="2"/>
        <v>28334.440000000002</v>
      </c>
      <c r="O8" s="188">
        <v>334252</v>
      </c>
      <c r="P8" s="397">
        <v>334252</v>
      </c>
      <c r="Q8" s="300">
        <v>334252</v>
      </c>
      <c r="R8" s="1449">
        <v>345279</v>
      </c>
      <c r="S8" s="1110">
        <f>425377+8400</f>
        <v>433777</v>
      </c>
      <c r="T8" s="188">
        <f>'[14]Summ by Dept'!$E$208+1043.71</f>
        <v>426719.74800000002</v>
      </c>
      <c r="U8" s="546">
        <f t="shared" ref="U8:U47" si="4">T8-S8</f>
        <v>-7057.2519999999786</v>
      </c>
      <c r="V8" s="1711">
        <v>477152</v>
      </c>
    </row>
    <row r="9" spans="1:22" ht="24.95" customHeight="1" thickBot="1" x14ac:dyDescent="0.35">
      <c r="A9" s="292" t="s">
        <v>55</v>
      </c>
      <c r="B9" s="293" t="s">
        <v>102</v>
      </c>
      <c r="C9" s="923">
        <v>6000</v>
      </c>
      <c r="D9" s="481">
        <v>10208.530000000001</v>
      </c>
      <c r="E9" s="397">
        <f t="shared" si="3"/>
        <v>4208.5300000000007</v>
      </c>
      <c r="F9" s="1110">
        <v>5000</v>
      </c>
      <c r="G9" s="188">
        <v>5000</v>
      </c>
      <c r="H9" s="188">
        <f>[7]Sheet1!$F$208</f>
        <v>4242.0140000000001</v>
      </c>
      <c r="I9" s="188">
        <f t="shared" si="0"/>
        <v>757.98599999999988</v>
      </c>
      <c r="J9" s="1136">
        <f t="shared" si="1"/>
        <v>0.84840280000000001</v>
      </c>
      <c r="K9" s="1193"/>
      <c r="L9" s="433">
        <v>5000</v>
      </c>
      <c r="M9" s="1455">
        <v>7731.61</v>
      </c>
      <c r="N9" s="337">
        <f t="shared" si="2"/>
        <v>-2731.6099999999997</v>
      </c>
      <c r="O9" s="1456">
        <v>6000</v>
      </c>
      <c r="P9" s="1527">
        <v>6000</v>
      </c>
      <c r="Q9" s="1544">
        <v>6000</v>
      </c>
      <c r="R9" s="1449">
        <v>3790</v>
      </c>
      <c r="S9" s="1110">
        <v>5000</v>
      </c>
      <c r="T9" s="188">
        <f>'[14]Summ by Dept'!$F$208</f>
        <v>4634.1179999999995</v>
      </c>
      <c r="U9" s="546">
        <f t="shared" si="4"/>
        <v>-365.88200000000052</v>
      </c>
      <c r="V9" s="1711">
        <v>5000</v>
      </c>
    </row>
    <row r="10" spans="1:22" ht="24.95" customHeight="1" thickBot="1" x14ac:dyDescent="0.35">
      <c r="A10" s="292" t="s">
        <v>56</v>
      </c>
      <c r="B10" s="293" t="s">
        <v>103</v>
      </c>
      <c r="C10" s="923">
        <v>22337</v>
      </c>
      <c r="D10" s="481">
        <v>20260.439999999999</v>
      </c>
      <c r="E10" s="397">
        <f t="shared" si="3"/>
        <v>-2076.5600000000013</v>
      </c>
      <c r="F10" s="1110">
        <v>23926</v>
      </c>
      <c r="G10" s="188">
        <v>23926</v>
      </c>
      <c r="H10" s="188">
        <f>[7]Sheet1!$H$208</f>
        <v>20536.198</v>
      </c>
      <c r="I10" s="188">
        <f t="shared" si="0"/>
        <v>3389.8019999999997</v>
      </c>
      <c r="J10" s="1136">
        <f t="shared" si="1"/>
        <v>0.8583214076736605</v>
      </c>
      <c r="K10" s="1193"/>
      <c r="L10" s="433">
        <f>18922+5003</f>
        <v>23925</v>
      </c>
      <c r="M10" s="1110">
        <v>18360.080000000002</v>
      </c>
      <c r="N10" s="337">
        <f t="shared" si="2"/>
        <v>5564.9199999999983</v>
      </c>
      <c r="O10" s="188">
        <v>22511</v>
      </c>
      <c r="P10" s="397">
        <v>22511</v>
      </c>
      <c r="Q10" s="300">
        <v>22511</v>
      </c>
      <c r="R10" s="1449">
        <v>20431</v>
      </c>
      <c r="S10" s="1110">
        <v>19081</v>
      </c>
      <c r="T10" s="188">
        <f>'[14]Summ by Dept'!$H$208</f>
        <v>14897.022000000001</v>
      </c>
      <c r="U10" s="546">
        <f t="shared" si="4"/>
        <v>-4183.9779999999992</v>
      </c>
      <c r="V10" s="1711">
        <v>13731</v>
      </c>
    </row>
    <row r="11" spans="1:22" ht="24.95" customHeight="1" thickBot="1" x14ac:dyDescent="0.35">
      <c r="A11" s="292" t="s">
        <v>57</v>
      </c>
      <c r="B11" s="293" t="s">
        <v>104</v>
      </c>
      <c r="C11" s="923">
        <v>80356</v>
      </c>
      <c r="D11" s="481">
        <v>81963</v>
      </c>
      <c r="E11" s="397">
        <f t="shared" si="3"/>
        <v>1607</v>
      </c>
      <c r="F11" s="1110">
        <v>113544</v>
      </c>
      <c r="G11" s="188">
        <v>113544</v>
      </c>
      <c r="H11" s="188">
        <f>[7]Sheet1!$I$208</f>
        <v>97555.5</v>
      </c>
      <c r="I11" s="188">
        <f t="shared" si="0"/>
        <v>15988.5</v>
      </c>
      <c r="J11" s="1136">
        <f t="shared" si="1"/>
        <v>0.85918674698795183</v>
      </c>
      <c r="K11" s="1193"/>
      <c r="L11" s="433">
        <v>113544</v>
      </c>
      <c r="M11" s="1110">
        <v>117652</v>
      </c>
      <c r="N11" s="337">
        <f t="shared" si="2"/>
        <v>-4108</v>
      </c>
      <c r="O11" s="188">
        <v>124296</v>
      </c>
      <c r="P11" s="397">
        <v>124296</v>
      </c>
      <c r="Q11" s="300">
        <v>124296</v>
      </c>
      <c r="R11" s="1449">
        <v>85523</v>
      </c>
      <c r="S11" s="1110">
        <v>100500</v>
      </c>
      <c r="T11" s="188">
        <f>'[14]Summ by Dept'!$I$208</f>
        <v>92066.55</v>
      </c>
      <c r="U11" s="546">
        <f t="shared" si="4"/>
        <v>-8433.4499999999971</v>
      </c>
      <c r="V11" s="1711">
        <v>109242</v>
      </c>
    </row>
    <row r="12" spans="1:22" ht="24.95" customHeight="1" thickBot="1" x14ac:dyDescent="0.35">
      <c r="A12" s="292" t="s">
        <v>58</v>
      </c>
      <c r="B12" s="293" t="s">
        <v>105</v>
      </c>
      <c r="C12" s="923">
        <v>1200</v>
      </c>
      <c r="D12" s="481">
        <v>1187.44</v>
      </c>
      <c r="E12" s="397">
        <f t="shared" si="3"/>
        <v>-12.559999999999945</v>
      </c>
      <c r="F12" s="1110">
        <v>1350</v>
      </c>
      <c r="G12" s="188">
        <v>1350</v>
      </c>
      <c r="H12" s="188">
        <f>[7]Sheet1!$J$208</f>
        <v>596.11800000000005</v>
      </c>
      <c r="I12" s="188">
        <f t="shared" si="0"/>
        <v>753.88199999999995</v>
      </c>
      <c r="J12" s="1136">
        <f t="shared" si="1"/>
        <v>0.4415688888888889</v>
      </c>
      <c r="K12" s="1193"/>
      <c r="L12" s="433">
        <v>1350</v>
      </c>
      <c r="M12" s="1110">
        <v>629.99</v>
      </c>
      <c r="N12" s="337">
        <f t="shared" si="2"/>
        <v>720.01</v>
      </c>
      <c r="O12" s="188">
        <v>1350</v>
      </c>
      <c r="P12" s="397">
        <v>1350</v>
      </c>
      <c r="Q12" s="300">
        <v>1350</v>
      </c>
      <c r="R12" s="1449">
        <v>477.42</v>
      </c>
      <c r="S12" s="1110">
        <v>600</v>
      </c>
      <c r="T12" s="188">
        <f>'[14]Summ by Dept'!$J$208</f>
        <v>1602.7240000000002</v>
      </c>
      <c r="U12" s="546">
        <f t="shared" si="4"/>
        <v>1002.7240000000002</v>
      </c>
      <c r="V12" s="1711">
        <v>1603</v>
      </c>
    </row>
    <row r="13" spans="1:22" ht="24.95" customHeight="1" thickBot="1" x14ac:dyDescent="0.35">
      <c r="A13" s="292" t="s">
        <v>59</v>
      </c>
      <c r="B13" s="293" t="s">
        <v>106</v>
      </c>
      <c r="C13" s="923">
        <v>33274</v>
      </c>
      <c r="D13" s="481">
        <v>29250.720000000001</v>
      </c>
      <c r="E13" s="397">
        <f t="shared" si="3"/>
        <v>-4023.2799999999988</v>
      </c>
      <c r="F13" s="1110">
        <v>33978</v>
      </c>
      <c r="G13" s="188">
        <v>33978</v>
      </c>
      <c r="H13" s="188">
        <f>[7]Sheet1!$K$208</f>
        <v>29340.052000000003</v>
      </c>
      <c r="I13" s="188">
        <f t="shared" si="0"/>
        <v>4637.9479999999967</v>
      </c>
      <c r="J13" s="1136">
        <f t="shared" si="1"/>
        <v>0.86350144210960045</v>
      </c>
      <c r="K13" s="1193"/>
      <c r="L13" s="433">
        <f>33663+700</f>
        <v>34363</v>
      </c>
      <c r="M13" s="1110">
        <v>31612.34</v>
      </c>
      <c r="N13" s="337">
        <f t="shared" si="2"/>
        <v>2750.66</v>
      </c>
      <c r="O13" s="188">
        <v>31509</v>
      </c>
      <c r="P13" s="397">
        <v>31509</v>
      </c>
      <c r="Q13" s="300">
        <v>31509</v>
      </c>
      <c r="R13" s="1449">
        <v>31893</v>
      </c>
      <c r="S13" s="1110">
        <f>38404+1286</f>
        <v>39690</v>
      </c>
      <c r="T13" s="188">
        <f>'[14]Summ by Dept'!$K$208</f>
        <v>40069.567999999999</v>
      </c>
      <c r="U13" s="546">
        <f t="shared" si="4"/>
        <v>379.5679999999993</v>
      </c>
      <c r="V13" s="1711">
        <v>36333</v>
      </c>
    </row>
    <row r="14" spans="1:22" ht="24.95" customHeight="1" thickBot="1" x14ac:dyDescent="0.35">
      <c r="A14" s="398">
        <v>141</v>
      </c>
      <c r="B14" s="259" t="s">
        <v>684</v>
      </c>
      <c r="C14" s="923"/>
      <c r="D14" s="481"/>
      <c r="E14" s="397">
        <f t="shared" si="3"/>
        <v>0</v>
      </c>
      <c r="F14" s="1110"/>
      <c r="G14" s="188"/>
      <c r="H14" s="188"/>
      <c r="I14" s="188">
        <f t="shared" si="0"/>
        <v>0</v>
      </c>
      <c r="J14" s="1136"/>
      <c r="K14" s="1193"/>
      <c r="L14" s="433"/>
      <c r="M14" s="1110"/>
      <c r="N14" s="337">
        <f t="shared" si="2"/>
        <v>0</v>
      </c>
      <c r="O14" s="188"/>
      <c r="P14" s="397"/>
      <c r="Q14" s="300"/>
      <c r="S14" s="1316"/>
      <c r="T14" s="180"/>
      <c r="U14" s="1667"/>
      <c r="V14" s="1711"/>
    </row>
    <row r="15" spans="1:22" ht="24.95" customHeight="1" thickBot="1" x14ac:dyDescent="0.35">
      <c r="A15" s="292" t="s">
        <v>309</v>
      </c>
      <c r="B15" s="293" t="s">
        <v>310</v>
      </c>
      <c r="C15" s="923">
        <v>0</v>
      </c>
      <c r="D15" s="481">
        <v>1320</v>
      </c>
      <c r="E15" s="397">
        <f t="shared" si="3"/>
        <v>1320</v>
      </c>
      <c r="F15" s="1110">
        <v>1320</v>
      </c>
      <c r="G15" s="188">
        <v>1320</v>
      </c>
      <c r="H15" s="188">
        <f>[7]Sheet1!$Q$208</f>
        <v>1080</v>
      </c>
      <c r="I15" s="188">
        <f t="shared" si="0"/>
        <v>240</v>
      </c>
      <c r="J15" s="1136">
        <f t="shared" si="1"/>
        <v>0.81818181818181823</v>
      </c>
      <c r="K15" s="1193"/>
      <c r="L15" s="433">
        <v>1320</v>
      </c>
      <c r="M15" s="1110">
        <v>1320</v>
      </c>
      <c r="N15" s="337">
        <f t="shared" si="2"/>
        <v>0</v>
      </c>
      <c r="O15" s="188">
        <v>1320</v>
      </c>
      <c r="P15" s="397"/>
      <c r="Q15" s="300"/>
      <c r="S15" s="1316"/>
      <c r="T15" s="188">
        <f>'[14]Summ by Dept'!$Q$208</f>
        <v>1560</v>
      </c>
      <c r="U15" s="546">
        <f t="shared" si="4"/>
        <v>1560</v>
      </c>
      <c r="V15" s="1711">
        <v>1440</v>
      </c>
    </row>
    <row r="16" spans="1:22" ht="24.95" customHeight="1" thickBot="1" x14ac:dyDescent="0.35">
      <c r="A16" s="292" t="s">
        <v>340</v>
      </c>
      <c r="B16" s="293" t="s">
        <v>591</v>
      </c>
      <c r="C16" s="923"/>
      <c r="D16" s="481"/>
      <c r="E16" s="397">
        <f t="shared" si="3"/>
        <v>0</v>
      </c>
      <c r="F16" s="1110"/>
      <c r="G16" s="188"/>
      <c r="H16" s="188"/>
      <c r="I16" s="188">
        <f t="shared" si="0"/>
        <v>0</v>
      </c>
      <c r="J16" s="1136"/>
      <c r="K16" s="1193"/>
      <c r="L16" s="433"/>
      <c r="M16" s="1110"/>
      <c r="N16" s="337">
        <f t="shared" si="2"/>
        <v>0</v>
      </c>
      <c r="O16" s="188"/>
      <c r="P16" s="397"/>
      <c r="Q16" s="300"/>
      <c r="S16" s="1316"/>
      <c r="T16" s="188">
        <f>'[14]Summ by Dept'!$T$208</f>
        <v>162.75</v>
      </c>
      <c r="U16" s="546">
        <f t="shared" si="4"/>
        <v>162.75</v>
      </c>
      <c r="V16" s="1711">
        <v>163</v>
      </c>
    </row>
    <row r="17" spans="1:22" ht="24.95" customHeight="1" thickBot="1" x14ac:dyDescent="0.35">
      <c r="A17" s="292" t="s">
        <v>91</v>
      </c>
      <c r="B17" s="258" t="s">
        <v>390</v>
      </c>
      <c r="C17" s="923">
        <v>5000</v>
      </c>
      <c r="D17" s="481"/>
      <c r="E17" s="397">
        <f t="shared" si="3"/>
        <v>-5000</v>
      </c>
      <c r="F17" s="1110">
        <v>10000</v>
      </c>
      <c r="G17" s="188">
        <v>10000</v>
      </c>
      <c r="H17" s="188"/>
      <c r="I17" s="188">
        <f t="shared" si="0"/>
        <v>10000</v>
      </c>
      <c r="J17" s="1136">
        <f t="shared" si="1"/>
        <v>0</v>
      </c>
      <c r="K17" s="1193"/>
      <c r="L17" s="433">
        <v>10000</v>
      </c>
      <c r="M17" s="1110">
        <v>428.29</v>
      </c>
      <c r="N17" s="337">
        <f t="shared" si="2"/>
        <v>9571.7099999999991</v>
      </c>
      <c r="O17" s="188">
        <v>10000</v>
      </c>
      <c r="P17" s="397">
        <v>4000</v>
      </c>
      <c r="Q17" s="300">
        <v>4000</v>
      </c>
      <c r="R17" s="1449">
        <v>1423</v>
      </c>
      <c r="S17" s="1110">
        <v>2000</v>
      </c>
      <c r="T17" s="188">
        <f>'[14]Summ by Dept'!$U$208</f>
        <v>137.5</v>
      </c>
      <c r="U17" s="546">
        <f t="shared" si="4"/>
        <v>-1862.5</v>
      </c>
      <c r="V17" s="1711">
        <v>138</v>
      </c>
    </row>
    <row r="18" spans="1:22" ht="24.95" customHeight="1" thickBot="1" x14ac:dyDescent="0.35">
      <c r="A18" s="292" t="s">
        <v>82</v>
      </c>
      <c r="B18" s="293" t="s">
        <v>127</v>
      </c>
      <c r="C18" s="923">
        <v>250</v>
      </c>
      <c r="D18" s="861">
        <v>630</v>
      </c>
      <c r="E18" s="397">
        <f t="shared" si="3"/>
        <v>380</v>
      </c>
      <c r="F18" s="1110">
        <v>250</v>
      </c>
      <c r="G18" s="188">
        <v>250</v>
      </c>
      <c r="H18" s="188"/>
      <c r="I18" s="188">
        <f t="shared" si="0"/>
        <v>250</v>
      </c>
      <c r="J18" s="1136">
        <f t="shared" si="1"/>
        <v>0</v>
      </c>
      <c r="K18" s="1193"/>
      <c r="L18" s="433">
        <v>250</v>
      </c>
      <c r="M18" s="1110"/>
      <c r="N18" s="337">
        <f t="shared" si="2"/>
        <v>250</v>
      </c>
      <c r="O18" s="188">
        <v>250</v>
      </c>
      <c r="P18" s="397">
        <v>250</v>
      </c>
      <c r="Q18" s="300">
        <v>250</v>
      </c>
      <c r="S18" s="1110">
        <f>Q18</f>
        <v>250</v>
      </c>
      <c r="T18" s="180"/>
      <c r="U18" s="546">
        <f t="shared" si="4"/>
        <v>-250</v>
      </c>
      <c r="V18" s="1711">
        <v>100</v>
      </c>
    </row>
    <row r="19" spans="1:22" ht="24.95" customHeight="1" thickBot="1" x14ac:dyDescent="0.35">
      <c r="A19" s="292" t="s">
        <v>510</v>
      </c>
      <c r="B19" s="293" t="s">
        <v>782</v>
      </c>
      <c r="C19" s="923">
        <v>2000</v>
      </c>
      <c r="E19" s="397">
        <f t="shared" si="3"/>
        <v>-2000</v>
      </c>
      <c r="F19" s="1110"/>
      <c r="G19" s="188"/>
      <c r="H19" s="188">
        <f>[7]Sheet1!$X$208</f>
        <v>150</v>
      </c>
      <c r="I19" s="188">
        <f t="shared" si="0"/>
        <v>-150</v>
      </c>
      <c r="J19" s="1136"/>
      <c r="K19" s="1193"/>
      <c r="L19" s="433">
        <v>150</v>
      </c>
      <c r="M19" s="1110"/>
      <c r="N19" s="337">
        <f t="shared" si="2"/>
        <v>150</v>
      </c>
      <c r="O19" s="188">
        <v>150</v>
      </c>
      <c r="P19" s="397">
        <v>150</v>
      </c>
      <c r="Q19" s="300">
        <v>150</v>
      </c>
      <c r="S19" s="1110">
        <f>Q19</f>
        <v>150</v>
      </c>
      <c r="T19" s="188">
        <f>'[14]Summ by Dept'!$X$208</f>
        <v>1907</v>
      </c>
      <c r="U19" s="546">
        <f t="shared" si="4"/>
        <v>1757</v>
      </c>
      <c r="V19" s="1711">
        <v>1907</v>
      </c>
    </row>
    <row r="20" spans="1:22" ht="24.95" customHeight="1" thickBot="1" x14ac:dyDescent="0.35">
      <c r="A20" s="292" t="s">
        <v>326</v>
      </c>
      <c r="B20" s="293" t="s">
        <v>391</v>
      </c>
      <c r="C20" s="923">
        <v>500</v>
      </c>
      <c r="D20" s="861"/>
      <c r="E20" s="397">
        <f t="shared" si="3"/>
        <v>-500</v>
      </c>
      <c r="F20" s="1110"/>
      <c r="G20" s="188"/>
      <c r="H20" s="188"/>
      <c r="I20" s="188">
        <f t="shared" si="0"/>
        <v>0</v>
      </c>
      <c r="J20" s="1136"/>
      <c r="K20" s="1193"/>
      <c r="L20" s="433"/>
      <c r="M20" s="1110"/>
      <c r="N20" s="337">
        <f t="shared" si="2"/>
        <v>0</v>
      </c>
      <c r="O20" s="188"/>
      <c r="P20" s="397"/>
      <c r="Q20" s="300"/>
      <c r="S20" s="1316"/>
      <c r="T20" s="188">
        <f>'[14]Summ by Dept'!$AA$208</f>
        <v>202.5</v>
      </c>
      <c r="U20" s="546">
        <f t="shared" si="4"/>
        <v>202.5</v>
      </c>
      <c r="V20" s="1711">
        <v>203</v>
      </c>
    </row>
    <row r="21" spans="1:22" ht="24.95" customHeight="1" thickBot="1" x14ac:dyDescent="0.35">
      <c r="A21" s="292" t="s">
        <v>342</v>
      </c>
      <c r="B21" s="293" t="s">
        <v>388</v>
      </c>
      <c r="C21" s="923"/>
      <c r="D21" s="861"/>
      <c r="E21" s="397">
        <f t="shared" si="3"/>
        <v>0</v>
      </c>
      <c r="F21" s="1110"/>
      <c r="G21" s="188"/>
      <c r="H21" s="188"/>
      <c r="I21" s="188">
        <f t="shared" si="0"/>
        <v>0</v>
      </c>
      <c r="J21" s="1136"/>
      <c r="K21" s="1193"/>
      <c r="L21" s="433"/>
      <c r="M21" s="1110"/>
      <c r="N21" s="337">
        <f t="shared" si="2"/>
        <v>0</v>
      </c>
      <c r="O21" s="188"/>
      <c r="P21" s="397"/>
      <c r="Q21" s="300"/>
      <c r="S21" s="1316"/>
      <c r="T21" s="180"/>
      <c r="U21" s="1667"/>
      <c r="V21" s="1711"/>
    </row>
    <row r="22" spans="1:22" ht="24.95" customHeight="1" thickBot="1" x14ac:dyDescent="0.35">
      <c r="A22" s="292" t="s">
        <v>60</v>
      </c>
      <c r="B22" s="293" t="s">
        <v>92</v>
      </c>
      <c r="C22" s="923">
        <v>0</v>
      </c>
      <c r="D22" s="861">
        <v>3377</v>
      </c>
      <c r="E22" s="397">
        <f t="shared" si="3"/>
        <v>3377</v>
      </c>
      <c r="F22" s="1110">
        <v>3250</v>
      </c>
      <c r="G22" s="188">
        <v>3250</v>
      </c>
      <c r="H22" s="188">
        <f>[7]Sheet1!$AD$208</f>
        <v>3782</v>
      </c>
      <c r="I22" s="188">
        <f t="shared" si="0"/>
        <v>-532</v>
      </c>
      <c r="J22" s="1136">
        <f t="shared" si="1"/>
        <v>1.1636923076923076</v>
      </c>
      <c r="K22" s="1193"/>
      <c r="L22" s="433">
        <v>3782</v>
      </c>
      <c r="M22" s="1110">
        <v>3250</v>
      </c>
      <c r="N22" s="337">
        <f t="shared" si="2"/>
        <v>532</v>
      </c>
      <c r="O22" s="188">
        <v>3750</v>
      </c>
      <c r="P22" s="397">
        <v>3750</v>
      </c>
      <c r="Q22" s="300">
        <v>3750</v>
      </c>
      <c r="R22" s="1449">
        <v>3750</v>
      </c>
      <c r="S22" s="1110">
        <f>R22</f>
        <v>3750</v>
      </c>
      <c r="T22" s="188">
        <f>'[14]Summ by Dept'!$AD$208</f>
        <v>4025</v>
      </c>
      <c r="U22" s="546">
        <f t="shared" si="4"/>
        <v>275</v>
      </c>
      <c r="V22" s="1711">
        <v>4025</v>
      </c>
    </row>
    <row r="23" spans="1:22" ht="24.95" customHeight="1" thickBot="1" x14ac:dyDescent="0.35">
      <c r="A23" s="292" t="s">
        <v>389</v>
      </c>
      <c r="B23" s="293" t="s">
        <v>135</v>
      </c>
      <c r="C23" s="923">
        <v>0</v>
      </c>
      <c r="D23" s="481"/>
      <c r="E23" s="397">
        <f t="shared" si="3"/>
        <v>0</v>
      </c>
      <c r="F23" s="1110"/>
      <c r="G23" s="188"/>
      <c r="H23" s="188">
        <f>[7]Sheet1!$AI$208</f>
        <v>440</v>
      </c>
      <c r="I23" s="188">
        <f t="shared" si="0"/>
        <v>-440</v>
      </c>
      <c r="J23" s="1136"/>
      <c r="K23" s="1193"/>
      <c r="L23" s="433">
        <v>440</v>
      </c>
      <c r="M23" s="1110">
        <v>500</v>
      </c>
      <c r="N23" s="337">
        <f t="shared" si="2"/>
        <v>-60</v>
      </c>
      <c r="O23" s="188">
        <v>440</v>
      </c>
      <c r="P23" s="397">
        <f>440+265</f>
        <v>705</v>
      </c>
      <c r="Q23" s="300">
        <f>440+265</f>
        <v>705</v>
      </c>
      <c r="S23" s="1110">
        <f>Q23</f>
        <v>705</v>
      </c>
      <c r="T23" s="180"/>
      <c r="U23" s="546">
        <f t="shared" si="4"/>
        <v>-705</v>
      </c>
      <c r="V23" s="1711">
        <v>705</v>
      </c>
    </row>
    <row r="24" spans="1:22" ht="24.95" customHeight="1" thickBot="1" x14ac:dyDescent="0.35">
      <c r="A24" s="287" t="s">
        <v>168</v>
      </c>
      <c r="B24" s="257" t="s">
        <v>169</v>
      </c>
      <c r="C24" s="923"/>
      <c r="D24" s="481"/>
      <c r="E24" s="397">
        <f t="shared" si="3"/>
        <v>0</v>
      </c>
      <c r="F24" s="1110"/>
      <c r="G24" s="188"/>
      <c r="H24" s="188"/>
      <c r="I24" s="188">
        <f t="shared" si="0"/>
        <v>0</v>
      </c>
      <c r="J24" s="1136"/>
      <c r="K24" s="1193"/>
      <c r="L24" s="433"/>
      <c r="M24" s="1110"/>
      <c r="N24" s="337">
        <f t="shared" si="2"/>
        <v>0</v>
      </c>
      <c r="O24" s="188"/>
      <c r="P24" s="397"/>
      <c r="Q24" s="300"/>
      <c r="S24" s="1316"/>
      <c r="T24" s="180"/>
      <c r="U24" s="1667"/>
      <c r="V24" s="1711"/>
    </row>
    <row r="25" spans="1:22" ht="24.95" customHeight="1" thickBot="1" x14ac:dyDescent="0.35">
      <c r="A25" s="287" t="s">
        <v>166</v>
      </c>
      <c r="B25" s="257" t="s">
        <v>312</v>
      </c>
      <c r="C25" s="923"/>
      <c r="D25" s="481">
        <v>6251.5</v>
      </c>
      <c r="E25" s="397">
        <f t="shared" si="3"/>
        <v>6251.5</v>
      </c>
      <c r="F25" s="1110">
        <v>6300</v>
      </c>
      <c r="G25" s="188">
        <v>6300</v>
      </c>
      <c r="H25" s="188">
        <f>[7]Sheet1!$AM$208</f>
        <v>5327</v>
      </c>
      <c r="I25" s="188">
        <f t="shared" si="0"/>
        <v>973</v>
      </c>
      <c r="J25" s="1136">
        <f t="shared" si="1"/>
        <v>0.8455555555555555</v>
      </c>
      <c r="K25" s="1193"/>
      <c r="L25" s="433">
        <f>6300-2297-3</f>
        <v>4000</v>
      </c>
      <c r="M25" s="1110">
        <v>6219</v>
      </c>
      <c r="N25" s="337">
        <f t="shared" si="2"/>
        <v>-2219</v>
      </c>
      <c r="O25" s="188">
        <v>5400</v>
      </c>
      <c r="P25" s="397">
        <v>5400</v>
      </c>
      <c r="Q25" s="300">
        <v>5400</v>
      </c>
      <c r="R25" s="1449">
        <v>3731</v>
      </c>
      <c r="S25" s="1110">
        <v>4000</v>
      </c>
      <c r="T25" s="188">
        <f>'[14]Summ by Dept'!$AK$208+'[14]Summ by Dept'!$AM$208</f>
        <v>7686</v>
      </c>
      <c r="U25" s="546">
        <f t="shared" si="4"/>
        <v>3686</v>
      </c>
      <c r="V25" s="1711">
        <v>6000</v>
      </c>
    </row>
    <row r="26" spans="1:22" ht="24.95" customHeight="1" thickBot="1" x14ac:dyDescent="0.35">
      <c r="A26" s="292" t="s">
        <v>83</v>
      </c>
      <c r="B26" s="293" t="s">
        <v>128</v>
      </c>
      <c r="C26" s="923">
        <v>1500</v>
      </c>
      <c r="D26" s="481">
        <f>5499.35-404.54-406.26</f>
        <v>4688.55</v>
      </c>
      <c r="E26" s="397">
        <f t="shared" si="3"/>
        <v>3188.55</v>
      </c>
      <c r="F26" s="1110">
        <v>3000</v>
      </c>
      <c r="G26" s="188">
        <v>3000</v>
      </c>
      <c r="H26" s="188">
        <f>[7]Sheet1!$AO$208</f>
        <v>1777</v>
      </c>
      <c r="I26" s="188">
        <f t="shared" si="0"/>
        <v>1223</v>
      </c>
      <c r="J26" s="1136">
        <f t="shared" si="1"/>
        <v>0.59233333333333338</v>
      </c>
      <c r="K26" s="1193"/>
      <c r="L26" s="433">
        <v>1500</v>
      </c>
      <c r="M26" s="1110">
        <v>15.09</v>
      </c>
      <c r="N26" s="337">
        <f t="shared" si="2"/>
        <v>1484.91</v>
      </c>
      <c r="O26" s="188">
        <v>1500</v>
      </c>
      <c r="P26" s="397">
        <v>5000</v>
      </c>
      <c r="Q26" s="300">
        <v>5000</v>
      </c>
      <c r="R26" s="1449">
        <v>4128</v>
      </c>
      <c r="S26" s="1110">
        <f>Q26</f>
        <v>5000</v>
      </c>
      <c r="T26" s="188">
        <f>'[14]Summ by Dept'!$AO$208</f>
        <v>2548.04</v>
      </c>
      <c r="U26" s="546">
        <f t="shared" si="4"/>
        <v>-2451.96</v>
      </c>
      <c r="V26" s="1711">
        <v>2700</v>
      </c>
    </row>
    <row r="27" spans="1:22" ht="24.95" customHeight="1" thickBot="1" x14ac:dyDescent="0.35">
      <c r="A27" s="292" t="s">
        <v>392</v>
      </c>
      <c r="B27" s="293" t="s">
        <v>655</v>
      </c>
      <c r="C27" s="923">
        <v>3000</v>
      </c>
      <c r="D27" s="481">
        <v>3158.48</v>
      </c>
      <c r="E27" s="397">
        <f t="shared" si="3"/>
        <v>158.48000000000002</v>
      </c>
      <c r="F27" s="1110">
        <v>4000</v>
      </c>
      <c r="G27" s="188">
        <v>4000</v>
      </c>
      <c r="H27" s="188">
        <f>[7]Sheet1!$AP$208</f>
        <v>957.03000000000009</v>
      </c>
      <c r="I27" s="188">
        <f t="shared" si="0"/>
        <v>3042.97</v>
      </c>
      <c r="J27" s="1136">
        <f t="shared" si="1"/>
        <v>0.23925750000000001</v>
      </c>
      <c r="K27" s="1193"/>
      <c r="L27" s="433">
        <v>2000</v>
      </c>
      <c r="M27" s="1110">
        <v>3171.29</v>
      </c>
      <c r="N27" s="337">
        <f t="shared" si="2"/>
        <v>-1171.29</v>
      </c>
      <c r="O27" s="188">
        <v>3000</v>
      </c>
      <c r="P27" s="397">
        <v>3000</v>
      </c>
      <c r="Q27" s="300">
        <v>3000</v>
      </c>
      <c r="S27" s="1110">
        <f>Q27</f>
        <v>3000</v>
      </c>
      <c r="T27" s="188">
        <f>'[14]Summ by Dept'!$AP$208</f>
        <v>3729.8</v>
      </c>
      <c r="U27" s="546">
        <f t="shared" si="4"/>
        <v>729.80000000000018</v>
      </c>
      <c r="V27" s="1711">
        <v>3800</v>
      </c>
    </row>
    <row r="28" spans="1:22" ht="24.95" customHeight="1" thickBot="1" x14ac:dyDescent="0.35">
      <c r="A28" s="292" t="s">
        <v>346</v>
      </c>
      <c r="B28" s="293" t="s">
        <v>393</v>
      </c>
      <c r="C28" s="923"/>
      <c r="D28" s="481"/>
      <c r="E28" s="397">
        <f t="shared" si="3"/>
        <v>0</v>
      </c>
      <c r="F28" s="1110"/>
      <c r="G28" s="188"/>
      <c r="H28" s="188"/>
      <c r="I28" s="188">
        <f t="shared" si="0"/>
        <v>0</v>
      </c>
      <c r="J28" s="1136"/>
      <c r="K28" s="1193"/>
      <c r="L28" s="433"/>
      <c r="M28" s="1110"/>
      <c r="N28" s="337">
        <f t="shared" si="2"/>
        <v>0</v>
      </c>
      <c r="O28" s="188"/>
      <c r="P28" s="397"/>
      <c r="Q28" s="300"/>
      <c r="S28" s="1316"/>
      <c r="T28" s="180"/>
      <c r="U28" s="1667"/>
      <c r="V28" s="1711"/>
    </row>
    <row r="29" spans="1:22" ht="24.95" customHeight="1" thickBot="1" x14ac:dyDescent="0.35">
      <c r="A29" s="292" t="s">
        <v>61</v>
      </c>
      <c r="B29" s="293" t="s">
        <v>107</v>
      </c>
      <c r="C29" s="923">
        <v>2000</v>
      </c>
      <c r="D29" s="481">
        <v>4155.8</v>
      </c>
      <c r="E29" s="397">
        <f t="shared" si="3"/>
        <v>2155.8000000000002</v>
      </c>
      <c r="F29" s="1110">
        <v>2500</v>
      </c>
      <c r="G29" s="188">
        <v>2500</v>
      </c>
      <c r="H29" s="188">
        <f>[7]Sheet1!$AS$208</f>
        <v>2276.02</v>
      </c>
      <c r="I29" s="188">
        <f t="shared" si="0"/>
        <v>223.98000000000002</v>
      </c>
      <c r="J29" s="1136">
        <f t="shared" si="1"/>
        <v>0.910408</v>
      </c>
      <c r="K29" s="1193"/>
      <c r="L29" s="433">
        <f>3000-350</f>
        <v>2650</v>
      </c>
      <c r="M29" s="1110">
        <v>7878.47</v>
      </c>
      <c r="N29" s="337">
        <f t="shared" si="2"/>
        <v>-5228.47</v>
      </c>
      <c r="O29" s="188">
        <v>2650</v>
      </c>
      <c r="P29" s="397">
        <v>2650</v>
      </c>
      <c r="Q29" s="300">
        <v>2650</v>
      </c>
      <c r="R29" s="1449">
        <v>2441</v>
      </c>
      <c r="S29" s="1110">
        <f>Q29</f>
        <v>2650</v>
      </c>
      <c r="T29" s="188">
        <f>'[14]Summ by Dept'!$AS$208</f>
        <v>1857.3400000000001</v>
      </c>
      <c r="U29" s="546">
        <f t="shared" si="4"/>
        <v>-792.65999999999985</v>
      </c>
      <c r="V29" s="1711">
        <v>1900</v>
      </c>
    </row>
    <row r="30" spans="1:22" ht="24.95" customHeight="1" thickBot="1" x14ac:dyDescent="0.35">
      <c r="A30" s="292" t="s">
        <v>79</v>
      </c>
      <c r="B30" s="293" t="s">
        <v>129</v>
      </c>
      <c r="C30" s="923">
        <v>28000</v>
      </c>
      <c r="D30" s="481">
        <v>21032.22</v>
      </c>
      <c r="E30" s="397">
        <f t="shared" si="3"/>
        <v>-6967.7799999999988</v>
      </c>
      <c r="F30" s="1110">
        <v>25000</v>
      </c>
      <c r="G30" s="188">
        <v>25000</v>
      </c>
      <c r="H30" s="188">
        <f>[7]Sheet1!$AT$208</f>
        <v>21471.180000000004</v>
      </c>
      <c r="I30" s="188">
        <f t="shared" si="0"/>
        <v>3528.8199999999961</v>
      </c>
      <c r="J30" s="1136">
        <f t="shared" si="1"/>
        <v>0.85884720000000014</v>
      </c>
      <c r="K30" s="1242"/>
      <c r="L30" s="433">
        <f>25000-5000</f>
        <v>20000</v>
      </c>
      <c r="M30" s="1110">
        <v>21290.639999999999</v>
      </c>
      <c r="N30" s="337">
        <f t="shared" si="2"/>
        <v>-1290.6399999999994</v>
      </c>
      <c r="O30" s="188">
        <v>20000</v>
      </c>
      <c r="P30" s="397">
        <v>20000</v>
      </c>
      <c r="Q30" s="300">
        <v>20000</v>
      </c>
      <c r="R30" s="1449">
        <v>21812</v>
      </c>
      <c r="S30" s="1110">
        <v>22000</v>
      </c>
      <c r="T30" s="188">
        <f>'[14]Summ by Dept'!$AT$208</f>
        <v>17049.259999999998</v>
      </c>
      <c r="U30" s="546">
        <f t="shared" si="4"/>
        <v>-4950.7400000000016</v>
      </c>
      <c r="V30" s="1711">
        <f>22000-3000</f>
        <v>19000</v>
      </c>
    </row>
    <row r="31" spans="1:22" ht="24.95" customHeight="1" thickBot="1" x14ac:dyDescent="0.35">
      <c r="A31" s="292" t="s">
        <v>84</v>
      </c>
      <c r="B31" s="293" t="s">
        <v>130</v>
      </c>
      <c r="C31" s="923"/>
      <c r="D31" s="481"/>
      <c r="E31" s="397">
        <f t="shared" si="3"/>
        <v>0</v>
      </c>
      <c r="F31" s="1110"/>
      <c r="G31" s="188"/>
      <c r="H31" s="188"/>
      <c r="I31" s="188">
        <f t="shared" si="0"/>
        <v>0</v>
      </c>
      <c r="J31" s="1136"/>
      <c r="K31" s="1193"/>
      <c r="L31" s="433"/>
      <c r="M31" s="1110"/>
      <c r="N31" s="337">
        <f t="shared" si="2"/>
        <v>0</v>
      </c>
      <c r="O31" s="188"/>
      <c r="P31" s="397"/>
      <c r="Q31" s="300"/>
      <c r="S31" s="1316"/>
      <c r="T31" s="180"/>
      <c r="U31" s="1667"/>
      <c r="V31" s="1711"/>
    </row>
    <row r="32" spans="1:22" ht="24.95" customHeight="1" thickBot="1" x14ac:dyDescent="0.35">
      <c r="A32" s="292" t="s">
        <v>87</v>
      </c>
      <c r="B32" s="293" t="s">
        <v>97</v>
      </c>
      <c r="C32" s="923">
        <v>3000</v>
      </c>
      <c r="D32" s="481">
        <v>5811.53</v>
      </c>
      <c r="E32" s="397">
        <f t="shared" si="3"/>
        <v>2811.5299999999997</v>
      </c>
      <c r="F32" s="1110">
        <v>3000</v>
      </c>
      <c r="G32" s="188">
        <v>3000</v>
      </c>
      <c r="H32" s="188">
        <f>[7]Sheet1!$AW$208</f>
        <v>2958.24</v>
      </c>
      <c r="I32" s="188">
        <f t="shared" si="0"/>
        <v>41.760000000000218</v>
      </c>
      <c r="J32" s="1136">
        <f t="shared" si="1"/>
        <v>0.98607999999999996</v>
      </c>
      <c r="K32" s="1193"/>
      <c r="L32" s="433">
        <v>3000</v>
      </c>
      <c r="M32" s="1110">
        <v>4547.32</v>
      </c>
      <c r="N32" s="337">
        <f t="shared" si="2"/>
        <v>-1547.3199999999997</v>
      </c>
      <c r="O32" s="188">
        <v>3000</v>
      </c>
      <c r="P32" s="397">
        <v>3000</v>
      </c>
      <c r="Q32" s="300">
        <v>3000</v>
      </c>
      <c r="S32" s="1110">
        <f>Q32</f>
        <v>3000</v>
      </c>
      <c r="T32" s="188">
        <f>'[14]Summ by Dept'!$AW$208</f>
        <v>2521.75</v>
      </c>
      <c r="U32" s="546">
        <f t="shared" si="4"/>
        <v>-478.25</v>
      </c>
      <c r="V32" s="1711">
        <v>2500</v>
      </c>
    </row>
    <row r="33" spans="1:22" s="167" customFormat="1" ht="24.95" customHeight="1" thickBot="1" x14ac:dyDescent="0.35">
      <c r="A33" s="292" t="s">
        <v>88</v>
      </c>
      <c r="B33" s="293" t="s">
        <v>313</v>
      </c>
      <c r="C33" s="925">
        <v>4000</v>
      </c>
      <c r="D33" s="481">
        <v>5155.05</v>
      </c>
      <c r="E33" s="397">
        <f t="shared" si="3"/>
        <v>1155.0500000000002</v>
      </c>
      <c r="F33" s="1137">
        <v>4000</v>
      </c>
      <c r="G33" s="400">
        <v>4000</v>
      </c>
      <c r="H33" s="188">
        <f>[7]Sheet1!$AX$208</f>
        <v>5151.8500000000004</v>
      </c>
      <c r="I33" s="188">
        <f t="shared" si="0"/>
        <v>-1151.8500000000004</v>
      </c>
      <c r="J33" s="1136">
        <f t="shared" si="1"/>
        <v>1.2879625000000001</v>
      </c>
      <c r="K33" s="1193"/>
      <c r="L33" s="1071">
        <v>4000</v>
      </c>
      <c r="M33" s="1137">
        <v>6431.06</v>
      </c>
      <c r="N33" s="337">
        <f t="shared" si="2"/>
        <v>-2431.0600000000004</v>
      </c>
      <c r="O33" s="400">
        <v>4000</v>
      </c>
      <c r="P33" s="961">
        <v>2000</v>
      </c>
      <c r="Q33" s="921">
        <v>1000</v>
      </c>
      <c r="R33" s="1612">
        <v>4616</v>
      </c>
      <c r="S33" s="1137">
        <v>3000</v>
      </c>
      <c r="T33" s="400">
        <f>'[14]Summ by Dept'!$AX$208</f>
        <v>16830.14</v>
      </c>
      <c r="U33" s="546">
        <f t="shared" si="4"/>
        <v>13830.14</v>
      </c>
      <c r="V33" s="1714">
        <v>8000</v>
      </c>
    </row>
    <row r="34" spans="1:22" s="167" customFormat="1" ht="24.95" customHeight="1" thickBot="1" x14ac:dyDescent="0.35">
      <c r="A34" s="292" t="s">
        <v>62</v>
      </c>
      <c r="B34" s="293" t="s">
        <v>108</v>
      </c>
      <c r="C34" s="925">
        <v>2500</v>
      </c>
      <c r="D34" s="481">
        <v>2040.67</v>
      </c>
      <c r="E34" s="397">
        <f t="shared" si="3"/>
        <v>-459.32999999999993</v>
      </c>
      <c r="F34" s="1137">
        <v>2000</v>
      </c>
      <c r="G34" s="400">
        <v>2000</v>
      </c>
      <c r="H34" s="188">
        <f>[7]Sheet1!$AZ$208</f>
        <v>1762.44</v>
      </c>
      <c r="I34" s="188">
        <f t="shared" si="0"/>
        <v>237.55999999999995</v>
      </c>
      <c r="J34" s="1136">
        <f t="shared" si="1"/>
        <v>0.88122</v>
      </c>
      <c r="K34" s="1193"/>
      <c r="L34" s="1071">
        <v>2000</v>
      </c>
      <c r="M34" s="1137">
        <v>678.01</v>
      </c>
      <c r="N34" s="337">
        <f t="shared" si="2"/>
        <v>1321.99</v>
      </c>
      <c r="O34" s="400">
        <v>2000</v>
      </c>
      <c r="P34" s="961">
        <v>1000</v>
      </c>
      <c r="Q34" s="921">
        <v>1000</v>
      </c>
      <c r="S34" s="1137">
        <f>Q34</f>
        <v>1000</v>
      </c>
      <c r="T34" s="400">
        <f>'[14]Summ by Dept'!$AZ$208</f>
        <v>859.2</v>
      </c>
      <c r="U34" s="546">
        <f t="shared" si="4"/>
        <v>-140.79999999999995</v>
      </c>
      <c r="V34" s="1714">
        <v>860</v>
      </c>
    </row>
    <row r="35" spans="1:22" s="167" customFormat="1" ht="24.95" customHeight="1" thickBot="1" x14ac:dyDescent="0.35">
      <c r="A35" s="292" t="s">
        <v>314</v>
      </c>
      <c r="B35" s="293" t="s">
        <v>358</v>
      </c>
      <c r="C35" s="925">
        <v>500</v>
      </c>
      <c r="D35" s="481">
        <v>214.24</v>
      </c>
      <c r="E35" s="397">
        <f t="shared" si="3"/>
        <v>-285.76</v>
      </c>
      <c r="F35" s="1137">
        <v>250</v>
      </c>
      <c r="G35" s="400">
        <v>250</v>
      </c>
      <c r="H35" s="188"/>
      <c r="I35" s="188">
        <f t="shared" si="0"/>
        <v>250</v>
      </c>
      <c r="J35" s="1136">
        <f t="shared" si="1"/>
        <v>0</v>
      </c>
      <c r="K35" s="1193"/>
      <c r="L35" s="1071">
        <v>250</v>
      </c>
      <c r="M35" s="1137">
        <v>88</v>
      </c>
      <c r="N35" s="337">
        <f t="shared" si="2"/>
        <v>162</v>
      </c>
      <c r="O35" s="400">
        <v>250</v>
      </c>
      <c r="P35" s="961">
        <v>250</v>
      </c>
      <c r="Q35" s="921">
        <v>250</v>
      </c>
      <c r="S35" s="1137">
        <f>Q35</f>
        <v>250</v>
      </c>
      <c r="T35" s="400">
        <f>'[14]Summ by Dept'!$BA$208</f>
        <v>92</v>
      </c>
      <c r="U35" s="546">
        <f t="shared" si="4"/>
        <v>-158</v>
      </c>
      <c r="V35" s="1714">
        <v>92</v>
      </c>
    </row>
    <row r="36" spans="1:22" ht="24.95" customHeight="1" thickBot="1" x14ac:dyDescent="0.35">
      <c r="A36" s="292" t="s">
        <v>89</v>
      </c>
      <c r="B36" s="293" t="s">
        <v>379</v>
      </c>
      <c r="C36" s="923">
        <v>7500</v>
      </c>
      <c r="D36" s="481">
        <f>12429.35+24</f>
        <v>12453.35</v>
      </c>
      <c r="E36" s="397">
        <f t="shared" si="3"/>
        <v>4953.3500000000004</v>
      </c>
      <c r="F36" s="1137">
        <v>7500</v>
      </c>
      <c r="G36" s="400">
        <v>7500</v>
      </c>
      <c r="H36" s="188">
        <f>[7]Sheet1!$BD$208</f>
        <v>15201.63</v>
      </c>
      <c r="I36" s="188">
        <f t="shared" si="0"/>
        <v>-7701.6299999999992</v>
      </c>
      <c r="J36" s="1136">
        <f t="shared" si="1"/>
        <v>2.0268839999999999</v>
      </c>
      <c r="K36" s="1193"/>
      <c r="L36" s="433">
        <f>8000-1000</f>
        <v>7000</v>
      </c>
      <c r="M36" s="1110">
        <v>8972.75</v>
      </c>
      <c r="N36" s="337">
        <f t="shared" si="2"/>
        <v>-1972.75</v>
      </c>
      <c r="O36" s="188">
        <v>7000</v>
      </c>
      <c r="P36" s="397">
        <v>7000</v>
      </c>
      <c r="Q36" s="300">
        <v>7000</v>
      </c>
      <c r="R36" s="1449">
        <v>8172</v>
      </c>
      <c r="S36" s="1110">
        <v>7500</v>
      </c>
      <c r="T36" s="188">
        <f>'[14]Summ by Dept'!$BD$208</f>
        <v>23674.409999999996</v>
      </c>
      <c r="U36" s="546">
        <f t="shared" si="4"/>
        <v>16174.409999999996</v>
      </c>
      <c r="V36" s="1711">
        <f>18000-12751</f>
        <v>5249</v>
      </c>
    </row>
    <row r="37" spans="1:22" ht="24.95" customHeight="1" thickBot="1" x14ac:dyDescent="0.35">
      <c r="A37" s="292" t="s">
        <v>80</v>
      </c>
      <c r="B37" s="293" t="s">
        <v>140</v>
      </c>
      <c r="C37" s="923">
        <v>10000</v>
      </c>
      <c r="D37" s="481">
        <v>6340.94</v>
      </c>
      <c r="E37" s="397">
        <f t="shared" si="3"/>
        <v>-3659.0600000000004</v>
      </c>
      <c r="F37" s="1137">
        <v>6500</v>
      </c>
      <c r="G37" s="400">
        <v>6500</v>
      </c>
      <c r="H37" s="188">
        <f>[7]Sheet1!$BG$208</f>
        <v>3497.34</v>
      </c>
      <c r="I37" s="188">
        <f t="shared" si="0"/>
        <v>3002.66</v>
      </c>
      <c r="J37" s="1136">
        <f t="shared" si="1"/>
        <v>0.53805230769230772</v>
      </c>
      <c r="K37" s="1193"/>
      <c r="L37" s="433">
        <f>4500-1000-350</f>
        <v>3150</v>
      </c>
      <c r="M37" s="1110">
        <v>1769.73</v>
      </c>
      <c r="N37" s="337">
        <f t="shared" si="2"/>
        <v>1380.27</v>
      </c>
      <c r="O37" s="188">
        <v>3150</v>
      </c>
      <c r="P37" s="397">
        <v>3150</v>
      </c>
      <c r="Q37" s="300">
        <v>3150</v>
      </c>
      <c r="R37" s="1449">
        <v>3866</v>
      </c>
      <c r="S37" s="1110">
        <v>3500</v>
      </c>
      <c r="T37" s="188">
        <f>'[14]Summ by Dept'!$BG$208</f>
        <v>4636.32</v>
      </c>
      <c r="U37" s="546">
        <f t="shared" si="4"/>
        <v>1136.3199999999997</v>
      </c>
      <c r="V37" s="1711">
        <v>3500</v>
      </c>
    </row>
    <row r="38" spans="1:22" ht="24.95" customHeight="1" thickBot="1" x14ac:dyDescent="0.35">
      <c r="A38" s="292" t="s">
        <v>64</v>
      </c>
      <c r="B38" s="293" t="s">
        <v>385</v>
      </c>
      <c r="C38" s="923">
        <v>100</v>
      </c>
      <c r="D38" s="481">
        <v>1314</v>
      </c>
      <c r="E38" s="397">
        <f t="shared" si="3"/>
        <v>1214</v>
      </c>
      <c r="F38" s="1110">
        <v>100</v>
      </c>
      <c r="G38" s="188">
        <v>100</v>
      </c>
      <c r="H38" s="188"/>
      <c r="I38" s="188">
        <f t="shared" si="0"/>
        <v>100</v>
      </c>
      <c r="J38" s="1136">
        <f t="shared" si="1"/>
        <v>0</v>
      </c>
      <c r="K38" s="1193"/>
      <c r="L38" s="433">
        <v>100</v>
      </c>
      <c r="M38" s="1110"/>
      <c r="N38" s="337">
        <f t="shared" si="2"/>
        <v>100</v>
      </c>
      <c r="O38" s="188">
        <v>100</v>
      </c>
      <c r="P38" s="397">
        <v>100</v>
      </c>
      <c r="Q38" s="300">
        <v>100</v>
      </c>
      <c r="S38" s="1110">
        <v>100</v>
      </c>
      <c r="T38" s="180"/>
      <c r="U38" s="546">
        <f t="shared" si="4"/>
        <v>-100</v>
      </c>
      <c r="V38" s="1711">
        <v>100</v>
      </c>
    </row>
    <row r="39" spans="1:22" ht="24.95" customHeight="1" thickBot="1" x14ac:dyDescent="0.35">
      <c r="A39" s="292" t="s">
        <v>85</v>
      </c>
      <c r="B39" s="293" t="s">
        <v>131</v>
      </c>
      <c r="C39" s="923"/>
      <c r="D39" s="481"/>
      <c r="E39" s="397">
        <f t="shared" si="3"/>
        <v>0</v>
      </c>
      <c r="F39" s="1110"/>
      <c r="G39" s="188"/>
      <c r="H39" s="188"/>
      <c r="I39" s="188">
        <f t="shared" si="0"/>
        <v>0</v>
      </c>
      <c r="J39" s="1136"/>
      <c r="K39" s="1193"/>
      <c r="L39" s="433"/>
      <c r="M39" s="1110"/>
      <c r="N39" s="337">
        <f t="shared" si="2"/>
        <v>0</v>
      </c>
      <c r="O39" s="188"/>
      <c r="P39" s="397"/>
      <c r="Q39" s="300"/>
      <c r="S39" s="1316"/>
      <c r="T39" s="180"/>
      <c r="U39" s="1667"/>
      <c r="V39" s="1711"/>
    </row>
    <row r="40" spans="1:22" ht="24.95" customHeight="1" thickBot="1" x14ac:dyDescent="0.35">
      <c r="A40" s="292" t="s">
        <v>304</v>
      </c>
      <c r="B40" s="293" t="s">
        <v>316</v>
      </c>
      <c r="C40" s="923">
        <v>35000</v>
      </c>
      <c r="D40" s="481">
        <v>31894.240000000002</v>
      </c>
      <c r="E40" s="397">
        <f t="shared" si="3"/>
        <v>-3105.7599999999984</v>
      </c>
      <c r="F40" s="1137">
        <v>35000</v>
      </c>
      <c r="G40" s="400">
        <v>35000</v>
      </c>
      <c r="H40" s="188">
        <f>[7]Sheet1!$BK$208</f>
        <v>32210.690000000002</v>
      </c>
      <c r="I40" s="188">
        <f t="shared" si="0"/>
        <v>2789.3099999999977</v>
      </c>
      <c r="J40" s="1136">
        <f t="shared" si="1"/>
        <v>0.92030542857142861</v>
      </c>
      <c r="K40" s="1193"/>
      <c r="L40" s="433">
        <v>35000</v>
      </c>
      <c r="M40" s="1110">
        <v>40760.74</v>
      </c>
      <c r="N40" s="337">
        <f t="shared" si="2"/>
        <v>-5760.739999999998</v>
      </c>
      <c r="O40" s="188">
        <v>35000</v>
      </c>
      <c r="P40" s="397">
        <v>35000</v>
      </c>
      <c r="Q40" s="300">
        <v>35000</v>
      </c>
      <c r="R40" s="1449">
        <v>27120</v>
      </c>
      <c r="S40" s="1110">
        <v>30000</v>
      </c>
      <c r="T40" s="188">
        <f>'[14]Summ by Dept'!$BK$208</f>
        <v>34454.51</v>
      </c>
      <c r="U40" s="546">
        <f t="shared" si="4"/>
        <v>4454.510000000002</v>
      </c>
      <c r="V40" s="1711">
        <v>35000</v>
      </c>
    </row>
    <row r="41" spans="1:22" ht="24.95" customHeight="1" thickBot="1" x14ac:dyDescent="0.35">
      <c r="A41" s="398">
        <v>250</v>
      </c>
      <c r="B41" s="293" t="s">
        <v>650</v>
      </c>
      <c r="C41" s="923">
        <v>1000</v>
      </c>
      <c r="D41" s="481">
        <v>2906.86</v>
      </c>
      <c r="E41" s="397">
        <f t="shared" si="3"/>
        <v>1906.8600000000001</v>
      </c>
      <c r="F41" s="1137">
        <v>1500</v>
      </c>
      <c r="G41" s="400">
        <v>1500</v>
      </c>
      <c r="H41" s="188">
        <f>[7]Sheet1!$BM$208</f>
        <v>4465.2300000000005</v>
      </c>
      <c r="I41" s="188">
        <f t="shared" si="0"/>
        <v>-2965.2300000000005</v>
      </c>
      <c r="J41" s="1136">
        <f t="shared" si="1"/>
        <v>2.9768200000000005</v>
      </c>
      <c r="K41" s="1193"/>
      <c r="L41" s="433">
        <v>2000</v>
      </c>
      <c r="M41" s="1110">
        <v>4967.3999999999996</v>
      </c>
      <c r="N41" s="337">
        <f t="shared" si="2"/>
        <v>-2967.3999999999996</v>
      </c>
      <c r="O41" s="188">
        <v>2500</v>
      </c>
      <c r="P41" s="397">
        <v>2500</v>
      </c>
      <c r="Q41" s="300">
        <v>2500</v>
      </c>
      <c r="R41" s="1449">
        <v>2440</v>
      </c>
      <c r="S41" s="1110">
        <v>2500</v>
      </c>
      <c r="T41" s="188">
        <f>'[14]Summ by Dept'!$BM$208</f>
        <v>957.62</v>
      </c>
      <c r="U41" s="546">
        <f t="shared" si="4"/>
        <v>-1542.38</v>
      </c>
      <c r="V41" s="1711">
        <v>960</v>
      </c>
    </row>
    <row r="42" spans="1:22" ht="24.95" customHeight="1" thickBot="1" x14ac:dyDescent="0.35">
      <c r="A42" s="292" t="s">
        <v>66</v>
      </c>
      <c r="B42" s="293" t="s">
        <v>98</v>
      </c>
      <c r="C42" s="923">
        <v>13000</v>
      </c>
      <c r="D42" s="481">
        <v>19118.7</v>
      </c>
      <c r="E42" s="397">
        <f t="shared" si="3"/>
        <v>6118.7000000000007</v>
      </c>
      <c r="F42" s="1137">
        <v>13500</v>
      </c>
      <c r="G42" s="400">
        <v>13500</v>
      </c>
      <c r="H42" s="188">
        <f>[7]Sheet1!$BN$208</f>
        <v>20008.349999999999</v>
      </c>
      <c r="I42" s="188">
        <f t="shared" si="0"/>
        <v>-6508.3499999999985</v>
      </c>
      <c r="J42" s="1136">
        <f t="shared" si="1"/>
        <v>1.4821</v>
      </c>
      <c r="K42" s="1193"/>
      <c r="L42" s="433">
        <v>15000</v>
      </c>
      <c r="M42" s="1110">
        <v>21402.3</v>
      </c>
      <c r="N42" s="337">
        <f t="shared" si="2"/>
        <v>-6402.2999999999993</v>
      </c>
      <c r="O42" s="188">
        <v>15000</v>
      </c>
      <c r="P42" s="397">
        <v>15000</v>
      </c>
      <c r="Q42" s="300">
        <v>15000</v>
      </c>
      <c r="R42" s="1449">
        <v>14017.24</v>
      </c>
      <c r="S42" s="1110">
        <v>15000</v>
      </c>
      <c r="T42" s="188">
        <f>'[14]Summ by Dept'!$BN$208</f>
        <v>17322.169999999998</v>
      </c>
      <c r="U42" s="546">
        <f t="shared" si="4"/>
        <v>2322.1699999999983</v>
      </c>
      <c r="V42" s="1711">
        <v>17322</v>
      </c>
    </row>
    <row r="43" spans="1:22" ht="24.95" customHeight="1" thickBot="1" x14ac:dyDescent="0.35">
      <c r="A43" s="292" t="s">
        <v>67</v>
      </c>
      <c r="B43" s="293" t="s">
        <v>113</v>
      </c>
      <c r="C43" s="923">
        <v>200</v>
      </c>
      <c r="D43" s="481">
        <v>480</v>
      </c>
      <c r="E43" s="397">
        <f t="shared" si="3"/>
        <v>280</v>
      </c>
      <c r="F43" s="1137">
        <v>200</v>
      </c>
      <c r="G43" s="400">
        <v>200</v>
      </c>
      <c r="H43" s="188">
        <f>[7]Sheet1!$BO$208</f>
        <v>898.7</v>
      </c>
      <c r="I43" s="188">
        <f t="shared" si="0"/>
        <v>-698.7</v>
      </c>
      <c r="J43" s="1136">
        <f t="shared" si="1"/>
        <v>4.4935</v>
      </c>
      <c r="K43" s="1193"/>
      <c r="L43" s="433">
        <v>500</v>
      </c>
      <c r="M43" s="1110">
        <v>308.10000000000002</v>
      </c>
      <c r="N43" s="337">
        <f t="shared" si="2"/>
        <v>191.89999999999998</v>
      </c>
      <c r="O43" s="188">
        <v>500</v>
      </c>
      <c r="P43" s="397">
        <v>500</v>
      </c>
      <c r="Q43" s="300">
        <v>500</v>
      </c>
      <c r="R43" s="1449">
        <v>384</v>
      </c>
      <c r="S43" s="1110">
        <f>Q43</f>
        <v>500</v>
      </c>
      <c r="T43" s="188">
        <f>'[14]Summ by Dept'!$BO$208</f>
        <v>330</v>
      </c>
      <c r="U43" s="546">
        <f t="shared" si="4"/>
        <v>-170</v>
      </c>
      <c r="V43" s="1711">
        <v>330</v>
      </c>
    </row>
    <row r="44" spans="1:22" ht="24.95" customHeight="1" thickBot="1" x14ac:dyDescent="0.35">
      <c r="A44" s="292" t="s">
        <v>68</v>
      </c>
      <c r="B44" s="293" t="s">
        <v>114</v>
      </c>
      <c r="C44" s="923">
        <v>0</v>
      </c>
      <c r="D44" s="481">
        <v>231.68</v>
      </c>
      <c r="E44" s="397">
        <f t="shared" si="3"/>
        <v>231.68</v>
      </c>
      <c r="F44" s="1110">
        <v>300</v>
      </c>
      <c r="G44" s="188">
        <v>300</v>
      </c>
      <c r="H44" s="188"/>
      <c r="I44" s="188">
        <f t="shared" si="0"/>
        <v>300</v>
      </c>
      <c r="J44" s="1136">
        <f t="shared" si="1"/>
        <v>0</v>
      </c>
      <c r="K44" s="1193"/>
      <c r="L44" s="433">
        <v>300</v>
      </c>
      <c r="M44" s="1110">
        <v>189</v>
      </c>
      <c r="N44" s="337">
        <f t="shared" si="2"/>
        <v>111</v>
      </c>
      <c r="O44" s="188">
        <v>300</v>
      </c>
      <c r="P44" s="397">
        <v>100</v>
      </c>
      <c r="Q44" s="300">
        <v>100</v>
      </c>
      <c r="R44" s="1449">
        <v>285</v>
      </c>
      <c r="S44" s="1316">
        <f>300</f>
        <v>300</v>
      </c>
      <c r="T44" s="180"/>
      <c r="U44" s="546">
        <f t="shared" si="4"/>
        <v>-300</v>
      </c>
      <c r="V44" s="1711"/>
    </row>
    <row r="45" spans="1:22" ht="24.95" customHeight="1" thickBot="1" x14ac:dyDescent="0.35">
      <c r="A45" s="292" t="s">
        <v>69</v>
      </c>
      <c r="B45" s="257" t="s">
        <v>325</v>
      </c>
      <c r="C45" s="923"/>
      <c r="D45" s="481">
        <f>243+64.8</f>
        <v>307.8</v>
      </c>
      <c r="E45" s="397">
        <f t="shared" si="3"/>
        <v>307.8</v>
      </c>
      <c r="F45" s="1137">
        <v>300</v>
      </c>
      <c r="G45" s="400">
        <v>300</v>
      </c>
      <c r="H45" s="188">
        <f>[7]Sheet1!$BT$208</f>
        <v>631.79999999999995</v>
      </c>
      <c r="I45" s="188">
        <f t="shared" si="0"/>
        <v>-331.79999999999995</v>
      </c>
      <c r="J45" s="1136">
        <f t="shared" si="1"/>
        <v>2.1059999999999999</v>
      </c>
      <c r="K45" s="1193"/>
      <c r="L45" s="433">
        <v>600</v>
      </c>
      <c r="M45" s="1110">
        <v>1522.8</v>
      </c>
      <c r="N45" s="337">
        <f t="shared" si="2"/>
        <v>-922.8</v>
      </c>
      <c r="O45" s="188">
        <v>600</v>
      </c>
      <c r="P45" s="397"/>
      <c r="Q45" s="300"/>
      <c r="R45" s="1449">
        <v>729</v>
      </c>
      <c r="S45" s="1110">
        <f>R45</f>
        <v>729</v>
      </c>
      <c r="T45" s="188">
        <f>'[14]Summ by Dept'!$BT$208</f>
        <v>875.88</v>
      </c>
      <c r="U45" s="546">
        <f t="shared" si="4"/>
        <v>146.88</v>
      </c>
      <c r="V45" s="1711">
        <v>500</v>
      </c>
    </row>
    <row r="46" spans="1:22" ht="24.95" customHeight="1" thickBot="1" x14ac:dyDescent="0.35">
      <c r="A46" s="292" t="s">
        <v>70</v>
      </c>
      <c r="B46" s="293" t="s">
        <v>386</v>
      </c>
      <c r="C46" s="923">
        <v>150</v>
      </c>
      <c r="D46" s="481">
        <v>170.73</v>
      </c>
      <c r="E46" s="397">
        <f t="shared" si="3"/>
        <v>20.72999999999999</v>
      </c>
      <c r="F46" s="1137">
        <v>200</v>
      </c>
      <c r="G46" s="400">
        <v>200</v>
      </c>
      <c r="H46" s="188">
        <f>[7]Sheet1!$BV$208</f>
        <v>298.47399999999999</v>
      </c>
      <c r="I46" s="188">
        <f t="shared" si="0"/>
        <v>-98.47399999999999</v>
      </c>
      <c r="J46" s="1136">
        <f t="shared" si="1"/>
        <v>1.49237</v>
      </c>
      <c r="K46" s="1193"/>
      <c r="L46" s="433">
        <v>400</v>
      </c>
      <c r="M46" s="1110">
        <v>923.99</v>
      </c>
      <c r="N46" s="337">
        <f t="shared" si="2"/>
        <v>-523.99</v>
      </c>
      <c r="O46" s="188">
        <v>400</v>
      </c>
      <c r="P46" s="397">
        <v>400</v>
      </c>
      <c r="Q46" s="300">
        <v>400</v>
      </c>
      <c r="R46" s="1449">
        <v>300</v>
      </c>
      <c r="S46" s="1110">
        <v>400</v>
      </c>
      <c r="T46" s="188">
        <f>'[14]Summ by Dept'!$BV$208</f>
        <v>425.69</v>
      </c>
      <c r="U46" s="546">
        <f t="shared" si="4"/>
        <v>25.689999999999998</v>
      </c>
      <c r="V46" s="1711">
        <v>425</v>
      </c>
    </row>
    <row r="47" spans="1:22" ht="24.95" customHeight="1" thickBot="1" x14ac:dyDescent="0.35">
      <c r="A47" s="292" t="s">
        <v>71</v>
      </c>
      <c r="B47" s="293" t="s">
        <v>387</v>
      </c>
      <c r="C47" s="923">
        <v>2500</v>
      </c>
      <c r="D47" s="481">
        <v>1300</v>
      </c>
      <c r="E47" s="397">
        <f t="shared" si="3"/>
        <v>-1200</v>
      </c>
      <c r="F47" s="1137">
        <v>1500</v>
      </c>
      <c r="G47" s="400">
        <v>1500</v>
      </c>
      <c r="H47" s="188">
        <f>[7]Sheet1!$BW$208</f>
        <v>1375</v>
      </c>
      <c r="I47" s="188">
        <f t="shared" si="0"/>
        <v>125</v>
      </c>
      <c r="J47" s="1136">
        <f t="shared" si="1"/>
        <v>0.91666666666666663</v>
      </c>
      <c r="K47" s="1193"/>
      <c r="L47" s="433">
        <v>1500</v>
      </c>
      <c r="M47" s="1110">
        <v>2065</v>
      </c>
      <c r="N47" s="337">
        <f t="shared" si="2"/>
        <v>-565</v>
      </c>
      <c r="O47" s="188">
        <v>1900</v>
      </c>
      <c r="P47" s="397">
        <v>1900</v>
      </c>
      <c r="Q47" s="300">
        <v>1900</v>
      </c>
      <c r="R47" s="1449">
        <v>1110</v>
      </c>
      <c r="S47" s="1110">
        <v>1300</v>
      </c>
      <c r="T47" s="188">
        <f>'[14]Summ by Dept'!$BW$208</f>
        <v>2045</v>
      </c>
      <c r="U47" s="546">
        <f t="shared" si="4"/>
        <v>745</v>
      </c>
      <c r="V47" s="1711">
        <v>2045</v>
      </c>
    </row>
    <row r="48" spans="1:22" ht="24.95" customHeight="1" thickBot="1" x14ac:dyDescent="0.35">
      <c r="A48" s="398">
        <v>269</v>
      </c>
      <c r="B48" s="293" t="s">
        <v>653</v>
      </c>
      <c r="C48" s="923"/>
      <c r="D48" s="481"/>
      <c r="E48" s="397">
        <f t="shared" si="3"/>
        <v>0</v>
      </c>
      <c r="F48" s="1110"/>
      <c r="G48" s="188"/>
      <c r="H48" s="188">
        <f>[7]Sheet1!$BX$208</f>
        <v>34.200000000000003</v>
      </c>
      <c r="I48" s="188">
        <f t="shared" si="0"/>
        <v>-34.200000000000003</v>
      </c>
      <c r="J48" s="1136"/>
      <c r="K48" s="1193"/>
      <c r="L48" s="433">
        <v>40</v>
      </c>
      <c r="M48" s="1110"/>
      <c r="N48" s="337">
        <f t="shared" si="2"/>
        <v>40</v>
      </c>
      <c r="O48" s="188"/>
      <c r="P48" s="397"/>
      <c r="Q48" s="300"/>
      <c r="S48" s="1316"/>
      <c r="T48" s="180"/>
      <c r="U48" s="1667"/>
      <c r="V48" s="1711"/>
    </row>
    <row r="49" spans="1:22" ht="24.95" customHeight="1" thickBot="1" x14ac:dyDescent="0.35">
      <c r="A49" s="292" t="s">
        <v>317</v>
      </c>
      <c r="B49" s="293" t="s">
        <v>318</v>
      </c>
      <c r="C49" s="923"/>
      <c r="D49" s="481"/>
      <c r="E49" s="397">
        <f t="shared" si="3"/>
        <v>0</v>
      </c>
      <c r="F49" s="1110"/>
      <c r="G49" s="188"/>
      <c r="H49" s="188"/>
      <c r="I49" s="188">
        <f t="shared" si="0"/>
        <v>0</v>
      </c>
      <c r="J49" s="1136"/>
      <c r="K49" s="1193"/>
      <c r="L49" s="433"/>
      <c r="M49" s="1110"/>
      <c r="N49" s="337">
        <f t="shared" si="2"/>
        <v>0</v>
      </c>
      <c r="O49" s="188"/>
      <c r="P49" s="397"/>
      <c r="Q49" s="300"/>
      <c r="S49" s="1316"/>
      <c r="T49" s="180"/>
      <c r="U49" s="1667"/>
      <c r="V49" s="1711"/>
    </row>
    <row r="50" spans="1:22" ht="24.95" customHeight="1" thickBot="1" x14ac:dyDescent="0.35">
      <c r="A50" s="292" t="s">
        <v>319</v>
      </c>
      <c r="B50" s="293" t="s">
        <v>320</v>
      </c>
      <c r="C50" s="923">
        <v>0</v>
      </c>
      <c r="D50" s="481">
        <v>95</v>
      </c>
      <c r="E50" s="397">
        <f t="shared" si="3"/>
        <v>95</v>
      </c>
      <c r="F50" s="1110"/>
      <c r="G50" s="188"/>
      <c r="H50" s="188"/>
      <c r="I50" s="188">
        <f t="shared" si="0"/>
        <v>0</v>
      </c>
      <c r="J50" s="1136"/>
      <c r="K50" s="1193"/>
      <c r="L50" s="433"/>
      <c r="M50" s="1110"/>
      <c r="N50" s="337">
        <f t="shared" si="2"/>
        <v>0</v>
      </c>
      <c r="O50" s="188"/>
      <c r="P50" s="397"/>
      <c r="Q50" s="300"/>
      <c r="S50" s="1316"/>
      <c r="T50" s="180"/>
      <c r="U50" s="1667"/>
      <c r="V50" s="1711"/>
    </row>
    <row r="51" spans="1:22" ht="24.95" customHeight="1" thickBot="1" x14ac:dyDescent="0.35">
      <c r="A51" s="292" t="s">
        <v>73</v>
      </c>
      <c r="B51" s="293" t="s">
        <v>118</v>
      </c>
      <c r="C51" s="923">
        <v>405</v>
      </c>
      <c r="D51" s="481"/>
      <c r="E51" s="397">
        <f t="shared" si="3"/>
        <v>-405</v>
      </c>
      <c r="F51" s="1110">
        <v>300</v>
      </c>
      <c r="G51" s="188">
        <v>300</v>
      </c>
      <c r="H51" s="188">
        <f>[7]Sheet1!$CA$208</f>
        <v>510</v>
      </c>
      <c r="I51" s="188">
        <f t="shared" si="0"/>
        <v>-210</v>
      </c>
      <c r="J51" s="1136">
        <f t="shared" si="1"/>
        <v>1.7</v>
      </c>
      <c r="K51" s="1193"/>
      <c r="L51" s="433">
        <v>400</v>
      </c>
      <c r="M51" s="1110"/>
      <c r="N51" s="337">
        <f t="shared" si="2"/>
        <v>400</v>
      </c>
      <c r="O51" s="188">
        <v>400</v>
      </c>
      <c r="P51" s="397">
        <v>400</v>
      </c>
      <c r="Q51" s="300">
        <v>400</v>
      </c>
      <c r="S51" s="1110">
        <f>Q51</f>
        <v>400</v>
      </c>
      <c r="T51" s="180"/>
      <c r="U51" s="546">
        <f t="shared" ref="U51" si="5">T51-S51</f>
        <v>-400</v>
      </c>
      <c r="V51" s="1711">
        <v>400</v>
      </c>
    </row>
    <row r="52" spans="1:22" ht="24.95" customHeight="1" thickBot="1" x14ac:dyDescent="0.35">
      <c r="A52" s="292" t="s">
        <v>394</v>
      </c>
      <c r="B52" s="294" t="s">
        <v>396</v>
      </c>
      <c r="C52" s="923"/>
      <c r="D52" s="481"/>
      <c r="E52" s="397">
        <f t="shared" si="3"/>
        <v>0</v>
      </c>
      <c r="F52" s="1110"/>
      <c r="G52" s="188"/>
      <c r="H52" s="188"/>
      <c r="I52" s="188">
        <f t="shared" si="0"/>
        <v>0</v>
      </c>
      <c r="J52" s="1136"/>
      <c r="K52" s="1193"/>
      <c r="L52" s="433"/>
      <c r="M52" s="1110"/>
      <c r="N52" s="337">
        <f t="shared" si="2"/>
        <v>0</v>
      </c>
      <c r="O52" s="188"/>
      <c r="P52" s="397"/>
      <c r="Q52" s="300"/>
      <c r="S52" s="1316"/>
      <c r="T52" s="180"/>
      <c r="U52" s="1667"/>
      <c r="V52" s="1711"/>
    </row>
    <row r="53" spans="1:22" ht="24.95" customHeight="1" thickBot="1" x14ac:dyDescent="0.35">
      <c r="A53" s="292" t="s">
        <v>395</v>
      </c>
      <c r="B53" s="258"/>
      <c r="C53" s="923"/>
      <c r="D53" s="481"/>
      <c r="E53" s="397">
        <f t="shared" si="3"/>
        <v>0</v>
      </c>
      <c r="F53" s="1110"/>
      <c r="G53" s="188"/>
      <c r="H53" s="188"/>
      <c r="I53" s="188">
        <f t="shared" si="0"/>
        <v>0</v>
      </c>
      <c r="J53" s="1136"/>
      <c r="K53" s="1193"/>
      <c r="L53" s="433"/>
      <c r="M53" s="1110"/>
      <c r="N53" s="337">
        <f t="shared" si="2"/>
        <v>0</v>
      </c>
      <c r="O53" s="188"/>
      <c r="P53" s="397"/>
      <c r="Q53" s="300"/>
      <c r="S53" s="1316"/>
      <c r="T53" s="180"/>
      <c r="U53" s="1667"/>
      <c r="V53" s="1711"/>
    </row>
    <row r="54" spans="1:22" ht="24.95" customHeight="1" thickBot="1" x14ac:dyDescent="0.35">
      <c r="A54" s="398">
        <v>407</v>
      </c>
      <c r="B54" s="258" t="s">
        <v>654</v>
      </c>
      <c r="C54" s="923">
        <v>0</v>
      </c>
      <c r="D54" s="481">
        <v>36</v>
      </c>
      <c r="E54" s="397">
        <f t="shared" si="3"/>
        <v>36</v>
      </c>
      <c r="F54" s="1110">
        <v>18</v>
      </c>
      <c r="G54" s="188">
        <v>18</v>
      </c>
      <c r="H54" s="188">
        <f>[7]Sheet1!$CG$208</f>
        <v>112</v>
      </c>
      <c r="I54" s="188">
        <f t="shared" si="0"/>
        <v>-94</v>
      </c>
      <c r="J54" s="1136">
        <f t="shared" si="1"/>
        <v>6.2222222222222223</v>
      </c>
      <c r="K54" s="1193"/>
      <c r="L54" s="433">
        <v>18</v>
      </c>
      <c r="M54" s="1110"/>
      <c r="N54" s="337">
        <f t="shared" si="2"/>
        <v>18</v>
      </c>
      <c r="O54" s="188">
        <v>18</v>
      </c>
      <c r="P54" s="397">
        <v>54</v>
      </c>
      <c r="Q54" s="300">
        <v>54</v>
      </c>
      <c r="S54" s="1110">
        <f>Q54</f>
        <v>54</v>
      </c>
      <c r="T54" s="180"/>
      <c r="U54" s="546">
        <f t="shared" ref="U54:U57" si="6">T54-S54</f>
        <v>-54</v>
      </c>
      <c r="V54" s="1711">
        <v>54</v>
      </c>
    </row>
    <row r="55" spans="1:22" s="167" customFormat="1" ht="24.95" customHeight="1" thickBot="1" x14ac:dyDescent="0.35">
      <c r="A55" s="292" t="s">
        <v>123</v>
      </c>
      <c r="B55" s="293" t="s">
        <v>120</v>
      </c>
      <c r="C55" s="925"/>
      <c r="D55" s="481"/>
      <c r="E55" s="397">
        <f t="shared" si="3"/>
        <v>0</v>
      </c>
      <c r="F55" s="1137"/>
      <c r="G55" s="400"/>
      <c r="H55" s="188"/>
      <c r="I55" s="188">
        <f t="shared" si="0"/>
        <v>0</v>
      </c>
      <c r="J55" s="1136"/>
      <c r="K55" s="1193"/>
      <c r="L55" s="1071"/>
      <c r="M55" s="1137"/>
      <c r="N55" s="337">
        <f t="shared" si="2"/>
        <v>0</v>
      </c>
      <c r="O55" s="400"/>
      <c r="P55" s="961"/>
      <c r="Q55" s="921"/>
      <c r="S55" s="1670"/>
      <c r="T55" s="1668"/>
      <c r="U55" s="1669"/>
      <c r="V55" s="1714"/>
    </row>
    <row r="56" spans="1:22" ht="24.95" customHeight="1" thickBot="1" x14ac:dyDescent="0.35">
      <c r="A56" s="292" t="s">
        <v>74</v>
      </c>
      <c r="B56" s="259" t="s">
        <v>380</v>
      </c>
      <c r="C56" s="923">
        <v>500</v>
      </c>
      <c r="D56" s="481">
        <v>3389.65</v>
      </c>
      <c r="E56" s="397">
        <f t="shared" si="3"/>
        <v>2889.65</v>
      </c>
      <c r="F56" s="1110"/>
      <c r="G56" s="188"/>
      <c r="H56" s="188">
        <f>[7]Sheet1!$CM$208</f>
        <v>2548.64</v>
      </c>
      <c r="I56" s="188">
        <f t="shared" si="0"/>
        <v>-2548.64</v>
      </c>
      <c r="J56" s="1136"/>
      <c r="K56" s="1193"/>
      <c r="L56" s="433"/>
      <c r="M56" s="1110"/>
      <c r="N56" s="337">
        <f t="shared" si="2"/>
        <v>0</v>
      </c>
      <c r="O56" s="188"/>
      <c r="P56" s="397"/>
      <c r="Q56" s="300"/>
      <c r="S56" s="1316"/>
      <c r="T56" s="188">
        <f>'[14]Summ by Dept'!$CM$208</f>
        <v>1812</v>
      </c>
      <c r="U56" s="546">
        <f t="shared" si="6"/>
        <v>1812</v>
      </c>
      <c r="V56" s="1711">
        <v>1812</v>
      </c>
    </row>
    <row r="57" spans="1:22" ht="24.95" customHeight="1" thickBot="1" x14ac:dyDescent="0.35">
      <c r="A57" s="1014">
        <v>550</v>
      </c>
      <c r="B57" s="1010" t="s">
        <v>819</v>
      </c>
      <c r="C57" s="1012"/>
      <c r="D57" s="1013"/>
      <c r="E57" s="397"/>
      <c r="F57" s="1110">
        <v>10000</v>
      </c>
      <c r="G57" s="188">
        <v>10000</v>
      </c>
      <c r="H57" s="188">
        <f>[7]Sheet1!$CW$208</f>
        <v>7500</v>
      </c>
      <c r="I57" s="188">
        <f t="shared" si="0"/>
        <v>2500</v>
      </c>
      <c r="J57" s="1136">
        <f t="shared" si="1"/>
        <v>0.75</v>
      </c>
      <c r="K57" s="1245">
        <v>47700</v>
      </c>
      <c r="L57" s="433"/>
      <c r="M57" s="1454"/>
      <c r="N57" s="337">
        <f t="shared" si="2"/>
        <v>0</v>
      </c>
      <c r="O57" s="188"/>
      <c r="P57" s="397"/>
      <c r="Q57" s="547">
        <v>33000</v>
      </c>
      <c r="S57" s="1316">
        <v>30000</v>
      </c>
      <c r="T57" s="180"/>
      <c r="U57" s="546">
        <f t="shared" si="6"/>
        <v>-30000</v>
      </c>
      <c r="V57" s="1711"/>
    </row>
    <row r="58" spans="1:22" ht="24.95" customHeight="1" thickBot="1" x14ac:dyDescent="0.35">
      <c r="A58" s="1532">
        <v>611</v>
      </c>
      <c r="B58" s="279" t="s">
        <v>580</v>
      </c>
      <c r="C58" s="926">
        <v>26370</v>
      </c>
      <c r="D58" s="862">
        <v>26843.97</v>
      </c>
      <c r="E58" s="397">
        <f t="shared" si="3"/>
        <v>473.97000000000116</v>
      </c>
      <c r="F58" s="1110">
        <v>26370</v>
      </c>
      <c r="G58" s="188">
        <v>26370</v>
      </c>
      <c r="H58" s="188">
        <f>[7]Sheet1!$DA$208</f>
        <v>26843.97</v>
      </c>
      <c r="I58" s="188">
        <f t="shared" si="0"/>
        <v>-473.97000000000116</v>
      </c>
      <c r="J58" s="1136">
        <f t="shared" si="1"/>
        <v>1.0179738339021616</v>
      </c>
      <c r="K58" s="1243"/>
      <c r="L58" s="1073">
        <v>26370</v>
      </c>
      <c r="M58" s="1430">
        <f>6732.35+26843.97</f>
        <v>33576.32</v>
      </c>
      <c r="N58" s="1458">
        <f t="shared" si="2"/>
        <v>-7206.32</v>
      </c>
      <c r="O58" s="328">
        <v>51000</v>
      </c>
      <c r="P58" s="962">
        <v>33000</v>
      </c>
      <c r="Q58" s="547"/>
      <c r="S58" s="1671"/>
      <c r="T58" s="1672"/>
      <c r="U58" s="1673"/>
      <c r="V58" s="1711"/>
    </row>
    <row r="59" spans="1:22" ht="24.95" customHeight="1" thickBot="1" x14ac:dyDescent="0.4">
      <c r="A59" s="858"/>
      <c r="B59" s="859" t="s">
        <v>415</v>
      </c>
      <c r="C59" s="336">
        <f>SUM(C5:C58)</f>
        <v>720372</v>
      </c>
      <c r="D59" s="860">
        <f>SUM(D5:D58)</f>
        <v>698502.7300000001</v>
      </c>
      <c r="E59" s="860">
        <f>D59-C59</f>
        <v>-21869.269999999902</v>
      </c>
      <c r="F59" s="1138">
        <f>SUM(F5:F58)</f>
        <v>790105</v>
      </c>
      <c r="G59" s="1139">
        <f>SUM(G5:G58)</f>
        <v>794238.51</v>
      </c>
      <c r="H59" s="1139">
        <f t="shared" ref="H59" si="7">SUM(H5:H58)</f>
        <v>713186.9219999999</v>
      </c>
      <c r="I59" s="1140">
        <f>G59-H59</f>
        <v>81051.588000000105</v>
      </c>
      <c r="J59" s="1141">
        <f>H59/G59</f>
        <v>0.8979505690299503</v>
      </c>
      <c r="K59" s="1244"/>
      <c r="L59" s="1325">
        <f>SUM(L5:L58)</f>
        <v>770050</v>
      </c>
      <c r="M59" s="1457">
        <f t="shared" ref="M59:V59" si="8">SUM(M5:M58)</f>
        <v>763074.88</v>
      </c>
      <c r="N59" s="1459">
        <f>L59-M59</f>
        <v>6975.1199999999953</v>
      </c>
      <c r="O59" s="1457">
        <f t="shared" si="8"/>
        <v>767121</v>
      </c>
      <c r="P59" s="1457">
        <f t="shared" si="8"/>
        <v>741802</v>
      </c>
      <c r="Q59" s="1459">
        <f t="shared" si="8"/>
        <v>740802</v>
      </c>
      <c r="R59" s="1666">
        <f t="shared" si="8"/>
        <v>659342.66</v>
      </c>
      <c r="S59" s="1459">
        <f t="shared" si="8"/>
        <v>813311</v>
      </c>
      <c r="T59" s="1459">
        <f t="shared" si="8"/>
        <v>799316.6100000001</v>
      </c>
      <c r="U59" s="1459">
        <f t="shared" si="8"/>
        <v>-13994.389999999981</v>
      </c>
      <c r="V59" s="1709">
        <f t="shared" si="8"/>
        <v>835916</v>
      </c>
    </row>
    <row r="60" spans="1:22" ht="24.95" customHeight="1" x14ac:dyDescent="0.35">
      <c r="A60" s="88"/>
      <c r="B60" s="501"/>
      <c r="D60" s="728"/>
      <c r="H60" s="1236"/>
      <c r="I60" s="1236"/>
      <c r="J60" s="62"/>
    </row>
    <row r="61" spans="1:22" ht="15.75" hidden="1" x14ac:dyDescent="0.3">
      <c r="B61" s="86"/>
    </row>
    <row r="62" spans="1:22" ht="15.75" hidden="1" x14ac:dyDescent="0.3">
      <c r="B62" s="86"/>
    </row>
    <row r="63" spans="1:22" ht="18" hidden="1" x14ac:dyDescent="0.35">
      <c r="B63" s="87"/>
    </row>
    <row r="64" spans="1:22" x14ac:dyDescent="0.25">
      <c r="F64" s="726"/>
      <c r="G64" s="726"/>
    </row>
  </sheetData>
  <phoneticPr fontId="0" type="noConversion"/>
  <printOptions horizontalCentered="1"/>
  <pageMargins left="0" right="0" top="0.5" bottom="0.5" header="0.3" footer="0.3"/>
  <pageSetup paperSize="5" scale="91" fitToHeight="0" orientation="portrait" r:id="rId1"/>
  <headerFooter>
    <oddHeader>&amp;RPAGE 20-21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9"/>
  <sheetViews>
    <sheetView workbookViewId="0">
      <selection activeCell="S11" sqref="S11"/>
    </sheetView>
  </sheetViews>
  <sheetFormatPr defaultRowHeight="15" x14ac:dyDescent="0.25"/>
  <cols>
    <col min="1" max="1" width="15.5703125" customWidth="1"/>
    <col min="2" max="2" width="44.140625" customWidth="1"/>
    <col min="3" max="3" width="20.7109375" style="85" hidden="1" customWidth="1"/>
    <col min="4" max="4" width="23.28515625" style="85" hidden="1" customWidth="1"/>
    <col min="5" max="5" width="16" hidden="1" customWidth="1"/>
    <col min="6" max="7" width="21.28515625" hidden="1" customWidth="1"/>
    <col min="8" max="9" width="16" hidden="1" customWidth="1"/>
    <col min="10" max="10" width="14" style="144" hidden="1" customWidth="1"/>
    <col min="11" max="11" width="16" hidden="1" customWidth="1"/>
    <col min="12" max="12" width="15.7109375" hidden="1" customWidth="1"/>
    <col min="13" max="13" width="14.5703125" hidden="1" customWidth="1"/>
    <col min="14" max="14" width="16" hidden="1" customWidth="1"/>
    <col min="15" max="15" width="24.5703125" hidden="1" customWidth="1"/>
    <col min="16" max="16" width="19.5703125" customWidth="1"/>
    <col min="17" max="17" width="17" customWidth="1"/>
    <col min="18" max="18" width="12.5703125" hidden="1" customWidth="1"/>
    <col min="19" max="19" width="17.28515625" customWidth="1"/>
  </cols>
  <sheetData>
    <row r="1" spans="1:19" s="62" customFormat="1" ht="22.5" x14ac:dyDescent="0.4">
      <c r="A1" s="423"/>
      <c r="B1" s="423" t="s">
        <v>721</v>
      </c>
      <c r="C1" s="122"/>
      <c r="D1" s="122"/>
      <c r="E1" s="122"/>
      <c r="F1" s="958">
        <f ca="1">TODAY()</f>
        <v>44259</v>
      </c>
      <c r="G1" s="958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62" customFormat="1" ht="22.5" x14ac:dyDescent="0.4">
      <c r="A2" s="20"/>
      <c r="B2" s="1078" t="s">
        <v>1155</v>
      </c>
      <c r="C2" s="123"/>
      <c r="D2" s="123"/>
      <c r="E2" s="123"/>
      <c r="F2" s="959">
        <f ca="1">NOW()</f>
        <v>44259.508154745374</v>
      </c>
      <c r="G2" s="959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s="62" customFormat="1" ht="23.25" thickBot="1" x14ac:dyDescent="0.45">
      <c r="A3" s="21"/>
      <c r="B3" s="282" t="s">
        <v>1107</v>
      </c>
      <c r="C3" s="138"/>
      <c r="D3" s="138"/>
      <c r="E3" s="138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s="62" customFormat="1" ht="65.099999999999994" customHeight="1" thickBot="1" x14ac:dyDescent="0.4">
      <c r="A4" s="329" t="s">
        <v>631</v>
      </c>
      <c r="B4" s="329" t="s">
        <v>630</v>
      </c>
      <c r="C4" s="551" t="s">
        <v>799</v>
      </c>
      <c r="D4" s="819" t="s">
        <v>811</v>
      </c>
      <c r="E4" s="830" t="s">
        <v>797</v>
      </c>
      <c r="F4" s="612" t="s">
        <v>855</v>
      </c>
      <c r="G4" s="612" t="s">
        <v>856</v>
      </c>
      <c r="H4" s="1070" t="s">
        <v>780</v>
      </c>
      <c r="I4" s="1079" t="s">
        <v>853</v>
      </c>
      <c r="J4" s="1074" t="s">
        <v>854</v>
      </c>
      <c r="K4" s="551" t="s">
        <v>944</v>
      </c>
      <c r="L4" s="1428" t="s">
        <v>981</v>
      </c>
      <c r="M4" s="1312" t="s">
        <v>798</v>
      </c>
      <c r="N4" s="1312" t="s">
        <v>942</v>
      </c>
      <c r="O4" s="1312" t="s">
        <v>617</v>
      </c>
      <c r="P4" s="1588" t="s">
        <v>1078</v>
      </c>
      <c r="Q4" s="1505" t="s">
        <v>1076</v>
      </c>
      <c r="R4" s="1505" t="s">
        <v>798</v>
      </c>
      <c r="S4" s="1503" t="s">
        <v>1097</v>
      </c>
    </row>
    <row r="5" spans="1:19" ht="19.5" thickBot="1" x14ac:dyDescent="0.35">
      <c r="A5" s="490">
        <v>290</v>
      </c>
      <c r="B5" s="490" t="s">
        <v>720</v>
      </c>
      <c r="C5" s="707">
        <v>30000</v>
      </c>
      <c r="D5" s="491">
        <v>5000</v>
      </c>
      <c r="E5" s="640">
        <f>C5-D5</f>
        <v>25000</v>
      </c>
      <c r="F5" s="766">
        <v>60000</v>
      </c>
      <c r="G5" s="766">
        <v>47178.22</v>
      </c>
      <c r="H5" s="767">
        <f>[7]Sheet1!$CC$223</f>
        <v>17000</v>
      </c>
      <c r="I5" s="491">
        <f>G5-H5</f>
        <v>30178.22</v>
      </c>
      <c r="J5" s="1129">
        <f>H5/G5</f>
        <v>0.36033576510516929</v>
      </c>
      <c r="K5" s="1295">
        <v>30000</v>
      </c>
      <c r="L5" s="1326">
        <v>35000</v>
      </c>
      <c r="M5" s="1327">
        <f>L5-K5</f>
        <v>5000</v>
      </c>
      <c r="N5" s="1327">
        <v>30000</v>
      </c>
      <c r="O5" s="1328">
        <v>30000</v>
      </c>
      <c r="P5" s="1629">
        <v>30000</v>
      </c>
      <c r="Q5" s="76">
        <f>'[14]Summ by Dept'!$CC$223</f>
        <v>30000</v>
      </c>
      <c r="R5" s="76">
        <f>Q5-P5</f>
        <v>0</v>
      </c>
      <c r="S5" s="1715">
        <v>30000</v>
      </c>
    </row>
    <row r="6" spans="1:19" s="371" customFormat="1" ht="19.5" thickBot="1" x14ac:dyDescent="0.35">
      <c r="A6" s="1317"/>
      <c r="B6" s="492" t="s">
        <v>415</v>
      </c>
      <c r="C6" s="1202">
        <f t="shared" ref="C6:H6" si="0">SUM(C5)</f>
        <v>30000</v>
      </c>
      <c r="D6" s="1202">
        <f t="shared" si="0"/>
        <v>5000</v>
      </c>
      <c r="E6" s="1202">
        <f t="shared" si="0"/>
        <v>25000</v>
      </c>
      <c r="F6" s="1202">
        <f t="shared" si="0"/>
        <v>60000</v>
      </c>
      <c r="G6" s="1202">
        <f t="shared" si="0"/>
        <v>47178.22</v>
      </c>
      <c r="H6" s="1202">
        <f t="shared" si="0"/>
        <v>17000</v>
      </c>
      <c r="I6" s="492"/>
      <c r="J6" s="1090"/>
      <c r="K6" s="1202">
        <f>SUM(K5)</f>
        <v>30000</v>
      </c>
      <c r="L6" s="1202">
        <f t="shared" ref="L6:S6" si="1">SUM(L5)</f>
        <v>35000</v>
      </c>
      <c r="M6" s="1202">
        <f t="shared" si="1"/>
        <v>5000</v>
      </c>
      <c r="N6" s="1202">
        <f t="shared" si="1"/>
        <v>30000</v>
      </c>
      <c r="O6" s="1202">
        <f t="shared" si="1"/>
        <v>30000</v>
      </c>
      <c r="P6" s="1202">
        <f t="shared" si="1"/>
        <v>30000</v>
      </c>
      <c r="Q6" s="1202">
        <f t="shared" si="1"/>
        <v>30000</v>
      </c>
      <c r="R6" s="76">
        <f>Q6-P6</f>
        <v>0</v>
      </c>
      <c r="S6" s="1716">
        <f t="shared" si="1"/>
        <v>30000</v>
      </c>
    </row>
    <row r="7" spans="1:19" x14ac:dyDescent="0.25">
      <c r="B7" s="62"/>
    </row>
    <row r="8" spans="1:19" x14ac:dyDescent="0.25">
      <c r="B8" s="1294"/>
    </row>
    <row r="9" spans="1:19" x14ac:dyDescent="0.25">
      <c r="B9" s="1294"/>
    </row>
  </sheetData>
  <pageMargins left="0.7" right="0.7" top="0.75" bottom="0.75" header="0.3" footer="0.3"/>
  <pageSetup paperSize="5" scale="79" fitToHeight="0" orientation="portrait" r:id="rId1"/>
  <headerFooter>
    <oddHeader xml:space="preserve">&amp;RPAGE 22
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22"/>
  <sheetViews>
    <sheetView workbookViewId="0">
      <selection activeCell="S23" sqref="S23"/>
    </sheetView>
  </sheetViews>
  <sheetFormatPr defaultRowHeight="15" x14ac:dyDescent="0.25"/>
  <cols>
    <col min="2" max="2" width="46" customWidth="1"/>
    <col min="3" max="3" width="17.5703125" style="85" hidden="1" customWidth="1"/>
    <col min="4" max="4" width="17.42578125" style="85" hidden="1" customWidth="1"/>
    <col min="5" max="5" width="16.28515625" hidden="1" customWidth="1"/>
    <col min="6" max="6" width="18.42578125" hidden="1" customWidth="1"/>
    <col min="7" max="8" width="17.5703125" hidden="1" customWidth="1"/>
    <col min="9" max="9" width="17.85546875" style="144" hidden="1" customWidth="1"/>
    <col min="10" max="10" width="15" style="76" hidden="1" customWidth="1"/>
    <col min="11" max="12" width="13.85546875" hidden="1" customWidth="1"/>
    <col min="13" max="13" width="14.5703125" hidden="1" customWidth="1"/>
    <col min="14" max="14" width="22.42578125" hidden="1" customWidth="1"/>
    <col min="15" max="15" width="20.28515625" hidden="1" customWidth="1"/>
    <col min="16" max="16" width="20" customWidth="1"/>
    <col min="17" max="17" width="15.85546875" customWidth="1"/>
    <col min="18" max="18" width="16.85546875" hidden="1" customWidth="1"/>
    <col min="19" max="19" width="18" customWidth="1"/>
  </cols>
  <sheetData>
    <row r="1" spans="1:19" ht="22.5" customHeight="1" x14ac:dyDescent="0.4">
      <c r="A1" s="187"/>
      <c r="B1" s="353" t="s">
        <v>736</v>
      </c>
      <c r="C1" s="123"/>
      <c r="D1" s="123"/>
      <c r="E1" s="123"/>
      <c r="F1" s="958">
        <f ca="1">TODAY()</f>
        <v>44259</v>
      </c>
      <c r="G1" s="730"/>
      <c r="H1" s="730"/>
      <c r="I1" s="730"/>
      <c r="J1" s="346"/>
      <c r="K1" s="346"/>
      <c r="L1" s="346"/>
      <c r="M1" s="346"/>
      <c r="N1" s="346"/>
      <c r="O1" s="346"/>
      <c r="P1" s="346"/>
      <c r="Q1" s="346"/>
      <c r="R1" s="346"/>
      <c r="S1" s="346"/>
    </row>
    <row r="2" spans="1:19" ht="30" customHeight="1" x14ac:dyDescent="0.4">
      <c r="A2" s="187"/>
      <c r="B2" s="1078" t="s">
        <v>1155</v>
      </c>
      <c r="C2" s="729"/>
      <c r="D2" s="729"/>
      <c r="E2" s="729"/>
      <c r="F2" s="959">
        <f ca="1">NOW()</f>
        <v>44259.508154745374</v>
      </c>
      <c r="G2" s="730"/>
      <c r="H2" s="730"/>
      <c r="I2" s="730"/>
      <c r="J2" s="346"/>
      <c r="K2" s="346"/>
      <c r="L2" s="346"/>
      <c r="M2" s="346"/>
      <c r="N2" s="346"/>
      <c r="O2" s="346"/>
      <c r="P2" s="346"/>
      <c r="Q2" s="346"/>
      <c r="R2" s="346"/>
      <c r="S2" s="346"/>
    </row>
    <row r="3" spans="1:19" ht="22.5" customHeight="1" thickBot="1" x14ac:dyDescent="0.45">
      <c r="A3" s="189"/>
      <c r="B3" s="282" t="s">
        <v>1107</v>
      </c>
      <c r="C3" s="730"/>
      <c r="D3" s="730"/>
      <c r="E3" s="729"/>
      <c r="F3" s="730"/>
      <c r="G3" s="730"/>
      <c r="H3" s="730"/>
      <c r="I3" s="730"/>
      <c r="J3" s="347"/>
      <c r="K3" s="347"/>
      <c r="L3" s="347"/>
      <c r="M3" s="347"/>
      <c r="N3" s="347"/>
      <c r="O3" s="346"/>
      <c r="P3" s="346"/>
      <c r="Q3" s="346"/>
      <c r="R3" s="346"/>
      <c r="S3" s="346"/>
    </row>
    <row r="4" spans="1:19" s="93" customFormat="1" ht="69.95" customHeight="1" thickBot="1" x14ac:dyDescent="0.4">
      <c r="A4" s="329" t="s">
        <v>631</v>
      </c>
      <c r="B4" s="329" t="s">
        <v>630</v>
      </c>
      <c r="C4" s="551" t="s">
        <v>836</v>
      </c>
      <c r="D4" s="819" t="s">
        <v>811</v>
      </c>
      <c r="E4" s="830" t="s">
        <v>797</v>
      </c>
      <c r="F4" s="612" t="s">
        <v>855</v>
      </c>
      <c r="G4" s="1070" t="s">
        <v>780</v>
      </c>
      <c r="H4" s="1079" t="s">
        <v>853</v>
      </c>
      <c r="I4" s="1074" t="s">
        <v>854</v>
      </c>
      <c r="J4" s="551" t="s">
        <v>944</v>
      </c>
      <c r="K4" s="1428" t="s">
        <v>981</v>
      </c>
      <c r="L4" s="1312" t="s">
        <v>798</v>
      </c>
      <c r="M4" s="1312" t="s">
        <v>942</v>
      </c>
      <c r="N4" s="1503" t="s">
        <v>963</v>
      </c>
      <c r="O4" s="1505" t="s">
        <v>967</v>
      </c>
      <c r="P4" s="1588" t="s">
        <v>1079</v>
      </c>
      <c r="Q4" s="1662" t="s">
        <v>1076</v>
      </c>
      <c r="R4" s="1662" t="s">
        <v>798</v>
      </c>
      <c r="S4" s="1718" t="s">
        <v>1097</v>
      </c>
    </row>
    <row r="5" spans="1:19" ht="18.75" thickBot="1" x14ac:dyDescent="0.4">
      <c r="A5" s="377">
        <v>199</v>
      </c>
      <c r="B5" s="354" t="s">
        <v>312</v>
      </c>
      <c r="C5" s="733">
        <f>53700+43636+6684+37000</f>
        <v>141020</v>
      </c>
      <c r="D5" s="641">
        <v>92400</v>
      </c>
      <c r="E5" s="482">
        <f>C5-D5</f>
        <v>48620</v>
      </c>
      <c r="F5" s="733">
        <v>135000</v>
      </c>
      <c r="G5" s="1112">
        <f>[7]Sheet1!$AM$238</f>
        <v>75000</v>
      </c>
      <c r="H5" s="482">
        <f>F5-G5</f>
        <v>60000</v>
      </c>
      <c r="I5" s="427">
        <f>G5/F5</f>
        <v>0.55555555555555558</v>
      </c>
      <c r="J5" s="338">
        <f>180000+45000</f>
        <v>225000</v>
      </c>
      <c r="K5" s="338">
        <v>172500</v>
      </c>
      <c r="L5" s="338">
        <f>J5-K5</f>
        <v>52500</v>
      </c>
      <c r="M5" s="338">
        <v>270000</v>
      </c>
      <c r="N5" s="338">
        <v>230000</v>
      </c>
      <c r="O5" s="1112">
        <v>285000</v>
      </c>
      <c r="P5" s="1717">
        <v>270000</v>
      </c>
      <c r="Q5" s="1197">
        <f>'[14]Summ by Dept'!$AM$238</f>
        <v>307500</v>
      </c>
      <c r="R5" s="146">
        <f>Q5-P5</f>
        <v>37500</v>
      </c>
      <c r="S5" s="1719">
        <v>345000</v>
      </c>
    </row>
    <row r="6" spans="1:19" ht="18" x14ac:dyDescent="0.35">
      <c r="A6" s="67"/>
      <c r="B6" s="67" t="s">
        <v>400</v>
      </c>
      <c r="C6" s="120">
        <f>SUM(C5)</f>
        <v>141020</v>
      </c>
      <c r="D6" s="120">
        <f>SUM(D5)</f>
        <v>92400</v>
      </c>
      <c r="E6" s="120">
        <f>SUM(E5)</f>
        <v>48620</v>
      </c>
      <c r="F6" s="120">
        <f>SUM(F5)</f>
        <v>135000</v>
      </c>
      <c r="G6" s="120">
        <f t="shared" ref="G6:H6" si="0">SUM(G5)</f>
        <v>75000</v>
      </c>
      <c r="H6" s="120">
        <f t="shared" si="0"/>
        <v>60000</v>
      </c>
      <c r="I6" s="399">
        <f>G6/F6</f>
        <v>0.55555555555555558</v>
      </c>
      <c r="J6" s="120">
        <f>SUM(J5)</f>
        <v>225000</v>
      </c>
      <c r="K6" s="120">
        <f t="shared" ref="K6:S6" si="1">SUM(K5)</f>
        <v>172500</v>
      </c>
      <c r="L6" s="120">
        <f t="shared" si="1"/>
        <v>52500</v>
      </c>
      <c r="M6" s="120">
        <f t="shared" si="1"/>
        <v>270000</v>
      </c>
      <c r="N6" s="120">
        <f t="shared" si="1"/>
        <v>230000</v>
      </c>
      <c r="O6" s="120">
        <f t="shared" si="1"/>
        <v>285000</v>
      </c>
      <c r="P6" s="120">
        <f t="shared" si="1"/>
        <v>270000</v>
      </c>
      <c r="Q6" s="120">
        <f t="shared" si="1"/>
        <v>307500</v>
      </c>
      <c r="R6" s="120">
        <f t="shared" si="1"/>
        <v>37500</v>
      </c>
      <c r="S6" s="1720">
        <f t="shared" si="1"/>
        <v>345000</v>
      </c>
    </row>
    <row r="7" spans="1:19" ht="18" x14ac:dyDescent="0.35">
      <c r="A7" s="312"/>
      <c r="B7" s="312"/>
    </row>
    <row r="8" spans="1:19" hidden="1" x14ac:dyDescent="0.25">
      <c r="B8" t="s">
        <v>945</v>
      </c>
    </row>
    <row r="9" spans="1:19" hidden="1" x14ac:dyDescent="0.25">
      <c r="B9" t="s">
        <v>946</v>
      </c>
    </row>
    <row r="10" spans="1:19" hidden="1" x14ac:dyDescent="0.25">
      <c r="B10" t="s">
        <v>947</v>
      </c>
    </row>
    <row r="11" spans="1:19" hidden="1" x14ac:dyDescent="0.25">
      <c r="B11" t="s">
        <v>948</v>
      </c>
    </row>
    <row r="12" spans="1:19" hidden="1" x14ac:dyDescent="0.25">
      <c r="B12" t="s">
        <v>949</v>
      </c>
    </row>
    <row r="17" spans="2:2" hidden="1" x14ac:dyDescent="0.25">
      <c r="B17" s="1504" t="s">
        <v>964</v>
      </c>
    </row>
    <row r="18" spans="2:2" hidden="1" x14ac:dyDescent="0.25">
      <c r="B18" s="1504" t="s">
        <v>965</v>
      </c>
    </row>
    <row r="19" spans="2:2" hidden="1" x14ac:dyDescent="0.25">
      <c r="B19" s="1504" t="s">
        <v>966</v>
      </c>
    </row>
    <row r="20" spans="2:2" hidden="1" x14ac:dyDescent="0.25">
      <c r="B20" s="1504" t="s">
        <v>968</v>
      </c>
    </row>
    <row r="21" spans="2:2" hidden="1" x14ac:dyDescent="0.25">
      <c r="B21" s="1504" t="s">
        <v>969</v>
      </c>
    </row>
    <row r="22" spans="2:2" hidden="1" x14ac:dyDescent="0.25">
      <c r="B22" s="1504" t="s">
        <v>970</v>
      </c>
    </row>
  </sheetData>
  <phoneticPr fontId="20" type="noConversion"/>
  <pageMargins left="0.75" right="0.75" top="1" bottom="1" header="0.5" footer="0.5"/>
  <pageSetup paperSize="5" scale="81" fitToHeight="4" orientation="portrait" r:id="rId1"/>
  <headerFooter alignWithMargins="0">
    <oddHeader>&amp;RPAGE 23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C1F1D-A16E-402E-8511-F9972BB92833}">
  <dimension ref="B3:D51"/>
  <sheetViews>
    <sheetView topLeftCell="A13" workbookViewId="0">
      <selection activeCell="B5" sqref="B5"/>
    </sheetView>
  </sheetViews>
  <sheetFormatPr defaultRowHeight="15" x14ac:dyDescent="0.25"/>
  <cols>
    <col min="2" max="2" width="48.7109375" bestFit="1" customWidth="1"/>
  </cols>
  <sheetData>
    <row r="3" spans="2:4" x14ac:dyDescent="0.25">
      <c r="D3" s="1247"/>
    </row>
    <row r="4" spans="2:4" ht="18.75" x14ac:dyDescent="0.3">
      <c r="B4" s="1630" t="s">
        <v>1022</v>
      </c>
      <c r="D4" s="1247"/>
    </row>
    <row r="5" spans="2:4" ht="18.75" x14ac:dyDescent="0.3">
      <c r="B5" s="1630" t="s">
        <v>1127</v>
      </c>
      <c r="D5" s="1247"/>
    </row>
    <row r="6" spans="2:4" x14ac:dyDescent="0.25">
      <c r="D6" s="1247"/>
    </row>
    <row r="7" spans="2:4" ht="15.75" x14ac:dyDescent="0.25">
      <c r="B7" s="170" t="s">
        <v>630</v>
      </c>
      <c r="C7" s="170"/>
      <c r="D7" s="1631" t="s">
        <v>1023</v>
      </c>
    </row>
    <row r="8" spans="2:4" x14ac:dyDescent="0.25">
      <c r="B8" t="s">
        <v>1024</v>
      </c>
      <c r="D8" s="1247">
        <v>1</v>
      </c>
    </row>
    <row r="9" spans="2:4" x14ac:dyDescent="0.25">
      <c r="B9" t="s">
        <v>518</v>
      </c>
      <c r="D9" s="1247">
        <v>2</v>
      </c>
    </row>
    <row r="10" spans="2:4" x14ac:dyDescent="0.25">
      <c r="B10" s="1024" t="s">
        <v>557</v>
      </c>
      <c r="D10" s="1632" t="s">
        <v>1025</v>
      </c>
    </row>
    <row r="11" spans="2:4" x14ac:dyDescent="0.25">
      <c r="B11" s="1024" t="s">
        <v>1026</v>
      </c>
      <c r="D11" s="1247" t="s">
        <v>1027</v>
      </c>
    </row>
    <row r="12" spans="2:4" x14ac:dyDescent="0.25">
      <c r="B12" s="1024" t="s">
        <v>1028</v>
      </c>
      <c r="D12" s="1247">
        <v>10</v>
      </c>
    </row>
    <row r="13" spans="2:4" x14ac:dyDescent="0.25">
      <c r="B13" s="1024" t="s">
        <v>1029</v>
      </c>
      <c r="D13" s="1247">
        <v>11</v>
      </c>
    </row>
    <row r="14" spans="2:4" x14ac:dyDescent="0.25">
      <c r="B14" s="1024" t="s">
        <v>1030</v>
      </c>
      <c r="D14" s="1247">
        <v>12</v>
      </c>
    </row>
    <row r="15" spans="2:4" x14ac:dyDescent="0.25">
      <c r="B15" s="1024" t="s">
        <v>1031</v>
      </c>
      <c r="D15" s="1247">
        <v>13</v>
      </c>
    </row>
    <row r="16" spans="2:4" x14ac:dyDescent="0.25">
      <c r="B16" s="1024" t="s">
        <v>1032</v>
      </c>
      <c r="D16" s="1247">
        <v>14</v>
      </c>
    </row>
    <row r="17" spans="2:4" x14ac:dyDescent="0.25">
      <c r="B17" s="1024" t="s">
        <v>1033</v>
      </c>
      <c r="D17" s="1247">
        <v>15</v>
      </c>
    </row>
    <row r="18" spans="2:4" x14ac:dyDescent="0.25">
      <c r="B18" s="1024" t="s">
        <v>1034</v>
      </c>
      <c r="D18" s="1247">
        <v>16</v>
      </c>
    </row>
    <row r="19" spans="2:4" x14ac:dyDescent="0.25">
      <c r="B19" s="1024" t="s">
        <v>1035</v>
      </c>
      <c r="D19" s="1247">
        <v>17</v>
      </c>
    </row>
    <row r="20" spans="2:4" x14ac:dyDescent="0.25">
      <c r="B20" s="1024" t="s">
        <v>1036</v>
      </c>
      <c r="D20" s="1247">
        <v>18</v>
      </c>
    </row>
    <row r="21" spans="2:4" x14ac:dyDescent="0.25">
      <c r="B21" s="1024" t="s">
        <v>1037</v>
      </c>
      <c r="D21" s="1247">
        <v>19</v>
      </c>
    </row>
    <row r="22" spans="2:4" x14ac:dyDescent="0.25">
      <c r="B22" s="1024" t="s">
        <v>1038</v>
      </c>
      <c r="D22" s="1247" t="s">
        <v>1039</v>
      </c>
    </row>
    <row r="23" spans="2:4" x14ac:dyDescent="0.25">
      <c r="B23" s="1024" t="s">
        <v>1040</v>
      </c>
      <c r="D23" s="1247">
        <v>22</v>
      </c>
    </row>
    <row r="24" spans="2:4" x14ac:dyDescent="0.25">
      <c r="B24" s="1024" t="s">
        <v>736</v>
      </c>
      <c r="D24" s="1247">
        <v>23</v>
      </c>
    </row>
    <row r="25" spans="2:4" x14ac:dyDescent="0.25">
      <c r="B25" s="1024" t="s">
        <v>1041</v>
      </c>
      <c r="D25" s="1247">
        <v>24</v>
      </c>
    </row>
    <row r="26" spans="2:4" x14ac:dyDescent="0.25">
      <c r="B26" s="1024" t="s">
        <v>1067</v>
      </c>
      <c r="D26" s="1247">
        <v>25</v>
      </c>
    </row>
    <row r="27" spans="2:4" x14ac:dyDescent="0.25">
      <c r="B27" s="1024" t="s">
        <v>1068</v>
      </c>
      <c r="D27" s="1247">
        <v>26</v>
      </c>
    </row>
    <row r="28" spans="2:4" x14ac:dyDescent="0.25">
      <c r="B28" s="1024" t="s">
        <v>1042</v>
      </c>
      <c r="D28" s="1247">
        <v>27</v>
      </c>
    </row>
    <row r="29" spans="2:4" x14ac:dyDescent="0.25">
      <c r="B29" s="1024" t="s">
        <v>1043</v>
      </c>
      <c r="D29" s="1247">
        <v>28</v>
      </c>
    </row>
    <row r="30" spans="2:4" x14ac:dyDescent="0.25">
      <c r="B30" s="1024" t="s">
        <v>1044</v>
      </c>
      <c r="D30" s="1247" t="s">
        <v>1069</v>
      </c>
    </row>
    <row r="31" spans="2:4" x14ac:dyDescent="0.25">
      <c r="B31" s="1024" t="s">
        <v>1045</v>
      </c>
      <c r="D31" s="1247">
        <v>32</v>
      </c>
    </row>
    <row r="32" spans="2:4" x14ac:dyDescent="0.25">
      <c r="B32" s="1024" t="s">
        <v>1046</v>
      </c>
      <c r="D32" s="1247">
        <v>33</v>
      </c>
    </row>
    <row r="33" spans="2:4" x14ac:dyDescent="0.25">
      <c r="B33" s="1024" t="s">
        <v>771</v>
      </c>
      <c r="D33" s="1247">
        <v>34</v>
      </c>
    </row>
    <row r="34" spans="2:4" x14ac:dyDescent="0.25">
      <c r="B34" s="1024" t="s">
        <v>916</v>
      </c>
      <c r="D34" s="1247">
        <v>35</v>
      </c>
    </row>
    <row r="35" spans="2:4" x14ac:dyDescent="0.25">
      <c r="B35" s="1024" t="s">
        <v>1047</v>
      </c>
      <c r="D35" s="1247">
        <v>36</v>
      </c>
    </row>
    <row r="36" spans="2:4" x14ac:dyDescent="0.25">
      <c r="B36" s="1024" t="s">
        <v>1048</v>
      </c>
      <c r="D36" s="1247">
        <v>37</v>
      </c>
    </row>
    <row r="37" spans="2:4" x14ac:dyDescent="0.25">
      <c r="B37" s="1024" t="s">
        <v>788</v>
      </c>
      <c r="D37" s="1247">
        <v>38</v>
      </c>
    </row>
    <row r="38" spans="2:4" x14ac:dyDescent="0.25">
      <c r="B38" s="1024" t="s">
        <v>1049</v>
      </c>
      <c r="D38" s="1247">
        <v>39</v>
      </c>
    </row>
    <row r="39" spans="2:4" x14ac:dyDescent="0.25">
      <c r="B39" s="1024" t="s">
        <v>1050</v>
      </c>
      <c r="D39" s="1247">
        <v>40</v>
      </c>
    </row>
    <row r="40" spans="2:4" x14ac:dyDescent="0.25">
      <c r="B40" s="1024" t="s">
        <v>772</v>
      </c>
      <c r="D40" s="1247">
        <v>41</v>
      </c>
    </row>
    <row r="41" spans="2:4" x14ac:dyDescent="0.25">
      <c r="B41" s="1024" t="s">
        <v>839</v>
      </c>
      <c r="D41" s="1247">
        <v>42</v>
      </c>
    </row>
    <row r="42" spans="2:4" x14ac:dyDescent="0.25">
      <c r="B42" s="1024" t="s">
        <v>937</v>
      </c>
      <c r="D42" s="1247">
        <v>43</v>
      </c>
    </row>
    <row r="43" spans="2:4" x14ac:dyDescent="0.25">
      <c r="B43" s="1024" t="s">
        <v>1051</v>
      </c>
      <c r="D43" s="1247">
        <v>44</v>
      </c>
    </row>
    <row r="44" spans="2:4" x14ac:dyDescent="0.25">
      <c r="B44" s="1024" t="s">
        <v>1052</v>
      </c>
      <c r="D44" s="1247">
        <v>45</v>
      </c>
    </row>
    <row r="45" spans="2:4" x14ac:dyDescent="0.25">
      <c r="B45" s="1024" t="s">
        <v>1053</v>
      </c>
      <c r="D45" s="1247">
        <v>46</v>
      </c>
    </row>
    <row r="46" spans="2:4" x14ac:dyDescent="0.25">
      <c r="B46" s="1024" t="s">
        <v>1054</v>
      </c>
      <c r="D46" s="1247">
        <v>47</v>
      </c>
    </row>
    <row r="47" spans="2:4" x14ac:dyDescent="0.25">
      <c r="B47" s="1024" t="s">
        <v>1055</v>
      </c>
      <c r="D47" s="1247">
        <v>48</v>
      </c>
    </row>
    <row r="48" spans="2:4" x14ac:dyDescent="0.25">
      <c r="B48" s="1024" t="s">
        <v>1056</v>
      </c>
      <c r="D48" s="1247">
        <v>49</v>
      </c>
    </row>
    <row r="49" spans="2:4" x14ac:dyDescent="0.25">
      <c r="B49" s="1024" t="s">
        <v>1057</v>
      </c>
      <c r="D49" s="1247">
        <v>50</v>
      </c>
    </row>
    <row r="50" spans="2:4" x14ac:dyDescent="0.25">
      <c r="B50" s="1024" t="s">
        <v>1058</v>
      </c>
      <c r="D50" s="1247">
        <v>51</v>
      </c>
    </row>
    <row r="51" spans="2:4" x14ac:dyDescent="0.25">
      <c r="B51" s="1024" t="s">
        <v>1063</v>
      </c>
      <c r="D51" s="1247">
        <v>52</v>
      </c>
    </row>
  </sheetData>
  <pageMargins left="0.7" right="0.7" top="0.75" bottom="0.75" header="0.3" footer="0.3"/>
  <pageSetup paperSize="5" orientation="portrait" r:id="rId1"/>
  <headerFoot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11"/>
  <sheetViews>
    <sheetView workbookViewId="0">
      <selection activeCell="S8" sqref="S8"/>
    </sheetView>
  </sheetViews>
  <sheetFormatPr defaultRowHeight="15" x14ac:dyDescent="0.25"/>
  <cols>
    <col min="1" max="1" width="16.28515625" customWidth="1"/>
    <col min="2" max="2" width="45.28515625" customWidth="1"/>
    <col min="3" max="3" width="17.140625" style="76" hidden="1" customWidth="1"/>
    <col min="4" max="4" width="17" style="76" hidden="1" customWidth="1"/>
    <col min="5" max="5" width="17.7109375" style="85" hidden="1" customWidth="1"/>
    <col min="6" max="6" width="19.5703125" style="85" hidden="1" customWidth="1"/>
    <col min="7" max="7" width="17.28515625" hidden="1" customWidth="1"/>
    <col min="8" max="8" width="16.42578125" style="1024" hidden="1" customWidth="1"/>
    <col min="9" max="9" width="14.7109375" style="144" hidden="1" customWidth="1"/>
    <col min="10" max="10" width="15.7109375" style="85" hidden="1" customWidth="1"/>
    <col min="11" max="11" width="19.42578125" style="1024" hidden="1" customWidth="1"/>
    <col min="12" max="12" width="13.85546875" style="1024" hidden="1" customWidth="1"/>
    <col min="13" max="13" width="14.5703125" style="1024" hidden="1" customWidth="1"/>
    <col min="14" max="14" width="15.42578125" style="1024" hidden="1" customWidth="1"/>
    <col min="15" max="15" width="19" hidden="1" customWidth="1"/>
    <col min="16" max="16" width="21.28515625" customWidth="1"/>
    <col min="17" max="17" width="17.7109375" customWidth="1"/>
    <col min="18" max="18" width="17.7109375" hidden="1" customWidth="1"/>
    <col min="19" max="19" width="16.42578125" customWidth="1"/>
  </cols>
  <sheetData>
    <row r="1" spans="1:19" ht="22.5" customHeight="1" x14ac:dyDescent="0.4">
      <c r="A1" s="284"/>
      <c r="B1" s="284" t="s">
        <v>482</v>
      </c>
      <c r="C1" s="2"/>
      <c r="D1" s="2"/>
      <c r="E1" s="122"/>
      <c r="F1" s="958">
        <f ca="1">TODAY()</f>
        <v>44259</v>
      </c>
      <c r="G1" s="729"/>
      <c r="H1" s="729"/>
      <c r="I1" s="729"/>
      <c r="J1" s="729"/>
      <c r="K1" s="1460"/>
      <c r="L1" s="1460"/>
      <c r="M1" s="1460"/>
      <c r="N1" s="1460"/>
      <c r="O1" s="1460"/>
      <c r="P1" s="1460"/>
      <c r="Q1" s="1460"/>
      <c r="R1" s="1460"/>
      <c r="S1" s="1460"/>
    </row>
    <row r="2" spans="1:19" ht="24.95" customHeight="1" x14ac:dyDescent="0.4">
      <c r="A2" s="200"/>
      <c r="B2" s="1078" t="s">
        <v>1155</v>
      </c>
      <c r="C2" s="346"/>
      <c r="D2" s="346"/>
      <c r="E2" s="729"/>
      <c r="F2" s="959">
        <f ca="1">NOW()</f>
        <v>44259.508154745374</v>
      </c>
      <c r="G2" s="729"/>
      <c r="H2" s="729"/>
      <c r="I2" s="729"/>
      <c r="J2" s="729"/>
      <c r="K2" s="1460"/>
      <c r="L2" s="1460"/>
      <c r="M2" s="1460"/>
      <c r="N2" s="1460"/>
      <c r="O2" s="1460"/>
      <c r="P2" s="1460"/>
      <c r="Q2" s="1460"/>
      <c r="R2" s="1460"/>
      <c r="S2" s="1460"/>
    </row>
    <row r="3" spans="1:19" ht="22.5" customHeight="1" thickBot="1" x14ac:dyDescent="0.45">
      <c r="A3" s="282"/>
      <c r="B3" s="282" t="s">
        <v>1107</v>
      </c>
      <c r="C3" s="347"/>
      <c r="D3" s="347"/>
      <c r="E3" s="730"/>
      <c r="F3" s="730"/>
      <c r="G3" s="730"/>
      <c r="H3" s="730"/>
      <c r="I3" s="730"/>
      <c r="J3" s="730"/>
      <c r="K3" s="1461"/>
      <c r="L3" s="1461"/>
      <c r="M3" s="1461"/>
      <c r="N3" s="1461"/>
      <c r="O3" s="1460"/>
      <c r="P3" s="1460"/>
      <c r="Q3" s="1460"/>
      <c r="R3" s="1460"/>
      <c r="S3" s="1460"/>
    </row>
    <row r="4" spans="1:19" ht="69.95" customHeight="1" thickBot="1" x14ac:dyDescent="0.4">
      <c r="A4" s="329" t="s">
        <v>631</v>
      </c>
      <c r="B4" s="329" t="s">
        <v>630</v>
      </c>
      <c r="C4" s="551" t="s">
        <v>836</v>
      </c>
      <c r="D4" s="819" t="s">
        <v>811</v>
      </c>
      <c r="E4" s="830" t="s">
        <v>797</v>
      </c>
      <c r="F4" s="612" t="s">
        <v>855</v>
      </c>
      <c r="G4" s="1070" t="s">
        <v>780</v>
      </c>
      <c r="H4" s="1144" t="s">
        <v>853</v>
      </c>
      <c r="I4" s="1074" t="s">
        <v>854</v>
      </c>
      <c r="J4" s="551" t="s">
        <v>944</v>
      </c>
      <c r="K4" s="1428" t="s">
        <v>981</v>
      </c>
      <c r="L4" s="1441" t="s">
        <v>798</v>
      </c>
      <c r="M4" s="1441" t="s">
        <v>942</v>
      </c>
      <c r="N4" s="1441" t="s">
        <v>943</v>
      </c>
      <c r="O4" s="1588" t="s">
        <v>1014</v>
      </c>
      <c r="P4" s="1588" t="s">
        <v>1072</v>
      </c>
      <c r="Q4" s="1653" t="s">
        <v>1076</v>
      </c>
      <c r="R4" s="1653" t="s">
        <v>798</v>
      </c>
      <c r="S4" s="1543" t="s">
        <v>1097</v>
      </c>
    </row>
    <row r="5" spans="1:19" ht="24.95" customHeight="1" thickBot="1" x14ac:dyDescent="0.35">
      <c r="A5" s="615">
        <v>113</v>
      </c>
      <c r="B5" s="616" t="s">
        <v>417</v>
      </c>
      <c r="C5" s="927">
        <v>19957</v>
      </c>
      <c r="D5" s="432">
        <v>18421.439999999999</v>
      </c>
      <c r="E5" s="716">
        <f t="shared" ref="E5:E10" si="0">C5-D5</f>
        <v>1535.5600000000013</v>
      </c>
      <c r="F5" s="731">
        <v>19957</v>
      </c>
      <c r="G5" s="927">
        <f>[7]Sheet1!$E$253</f>
        <v>15875.763999999997</v>
      </c>
      <c r="H5" s="1219">
        <f>F5-G5</f>
        <v>4081.2360000000026</v>
      </c>
      <c r="I5" s="1094">
        <f>G5/F5</f>
        <v>0.79549852182191694</v>
      </c>
      <c r="J5" s="716">
        <f>F5</f>
        <v>19957</v>
      </c>
      <c r="K5" s="1219">
        <v>19457</v>
      </c>
      <c r="L5" s="477">
        <f>J5-K5</f>
        <v>500</v>
      </c>
      <c r="M5" s="1442">
        <v>20456</v>
      </c>
      <c r="N5" s="1442">
        <v>20456</v>
      </c>
      <c r="O5" s="1511">
        <v>20456</v>
      </c>
      <c r="P5" s="1511">
        <v>20456</v>
      </c>
      <c r="Q5" s="204">
        <f>'[14]Summ by Dept'!$E$253</f>
        <v>21760.237999999998</v>
      </c>
      <c r="R5" s="1024">
        <f>Q5-P5</f>
        <v>1304.2379999999976</v>
      </c>
      <c r="S5" s="1721">
        <v>21070</v>
      </c>
    </row>
    <row r="6" spans="1:19" s="62" customFormat="1" ht="24.95" customHeight="1" thickBot="1" x14ac:dyDescent="0.35">
      <c r="A6" s="1302" t="s">
        <v>55</v>
      </c>
      <c r="B6" s="1303" t="s">
        <v>592</v>
      </c>
      <c r="C6" s="1304">
        <v>500</v>
      </c>
      <c r="D6" s="433">
        <v>2043.62</v>
      </c>
      <c r="E6" s="731">
        <f t="shared" si="0"/>
        <v>-1543.62</v>
      </c>
      <c r="F6" s="717">
        <v>500</v>
      </c>
      <c r="G6" s="1304">
        <f>[7]Sheet1!$F$253</f>
        <v>4256.0599999999995</v>
      </c>
      <c r="H6" s="1305">
        <f t="shared" ref="H6:H11" si="1">F6-G6</f>
        <v>-3756.0599999999995</v>
      </c>
      <c r="I6" s="1136">
        <f t="shared" ref="I6:I11" si="2">G6/F6</f>
        <v>8.5121199999999995</v>
      </c>
      <c r="J6" s="717">
        <v>500</v>
      </c>
      <c r="K6" s="1305">
        <v>3416.89</v>
      </c>
      <c r="L6" s="477">
        <f t="shared" ref="L6:L10" si="3">J6-K6</f>
        <v>-2916.89</v>
      </c>
      <c r="M6" s="1462">
        <v>500</v>
      </c>
      <c r="N6" s="1462">
        <v>500</v>
      </c>
      <c r="O6" s="1511">
        <v>1821</v>
      </c>
      <c r="P6" s="1511">
        <v>500</v>
      </c>
      <c r="Q6" s="1675">
        <f>'[14]Summ by Dept'!$F$253</f>
        <v>763.37000000000012</v>
      </c>
      <c r="R6" s="1024">
        <f t="shared" ref="R6:R10" si="4">Q6-P6</f>
        <v>263.37000000000012</v>
      </c>
      <c r="S6" s="1721">
        <v>500</v>
      </c>
    </row>
    <row r="7" spans="1:19" ht="24.95" customHeight="1" thickBot="1" x14ac:dyDescent="0.35">
      <c r="A7" s="617">
        <v>121</v>
      </c>
      <c r="B7" s="618" t="s">
        <v>103</v>
      </c>
      <c r="C7" s="768">
        <v>1354</v>
      </c>
      <c r="D7" s="345">
        <v>1162.56</v>
      </c>
      <c r="E7" s="716">
        <f t="shared" si="0"/>
        <v>191.44000000000005</v>
      </c>
      <c r="F7" s="717">
        <v>1254</v>
      </c>
      <c r="G7" s="768">
        <f>[7]Sheet1!$H$253</f>
        <v>983.48400000000004</v>
      </c>
      <c r="H7" s="1220">
        <f t="shared" si="1"/>
        <v>270.51599999999996</v>
      </c>
      <c r="I7" s="1096">
        <f t="shared" si="2"/>
        <v>0.78427751196172257</v>
      </c>
      <c r="J7" s="714">
        <v>1082</v>
      </c>
      <c r="K7" s="1220">
        <v>1088.3599999999999</v>
      </c>
      <c r="L7" s="477">
        <f t="shared" si="3"/>
        <v>-6.3599999999999</v>
      </c>
      <c r="M7" s="1443">
        <v>1287</v>
      </c>
      <c r="N7" s="1443">
        <v>1287</v>
      </c>
      <c r="O7" s="1511">
        <v>1287</v>
      </c>
      <c r="P7" s="1511">
        <v>1002</v>
      </c>
      <c r="Q7" s="204">
        <f>'[14]Summ by Dept'!$H$253</f>
        <v>994.56700000000012</v>
      </c>
      <c r="R7" s="1024">
        <f t="shared" si="4"/>
        <v>-7.432999999999879</v>
      </c>
      <c r="S7" s="1721">
        <v>917</v>
      </c>
    </row>
    <row r="8" spans="1:19" ht="24.95" customHeight="1" thickBot="1" x14ac:dyDescent="0.35">
      <c r="A8" s="617">
        <v>122</v>
      </c>
      <c r="B8" s="618" t="s">
        <v>104</v>
      </c>
      <c r="C8" s="768">
        <v>8652</v>
      </c>
      <c r="D8" s="345">
        <v>8426</v>
      </c>
      <c r="E8" s="716">
        <f t="shared" si="0"/>
        <v>226</v>
      </c>
      <c r="F8" s="717">
        <v>10080</v>
      </c>
      <c r="G8" s="768">
        <f>[7]Sheet1!$I$253</f>
        <v>8030.76</v>
      </c>
      <c r="H8" s="1220">
        <f t="shared" si="1"/>
        <v>2049.2399999999998</v>
      </c>
      <c r="I8" s="1096">
        <f t="shared" si="2"/>
        <v>0.796702380952381</v>
      </c>
      <c r="J8" s="714">
        <v>10260</v>
      </c>
      <c r="K8" s="1220">
        <v>10260</v>
      </c>
      <c r="L8" s="477">
        <f t="shared" si="3"/>
        <v>0</v>
      </c>
      <c r="M8" s="1443">
        <v>10584</v>
      </c>
      <c r="N8" s="1443">
        <v>10584</v>
      </c>
      <c r="O8" s="1511">
        <v>10584</v>
      </c>
      <c r="P8" s="1511">
        <v>10584</v>
      </c>
      <c r="Q8" s="204">
        <f>'[14]Summ by Dept'!$I$253</f>
        <v>11473.949999999999</v>
      </c>
      <c r="R8" s="1024">
        <f t="shared" si="4"/>
        <v>889.94999999999891</v>
      </c>
      <c r="S8" s="1721">
        <v>12240</v>
      </c>
    </row>
    <row r="9" spans="1:19" ht="24.95" customHeight="1" thickBot="1" x14ac:dyDescent="0.35">
      <c r="A9" s="617">
        <v>123</v>
      </c>
      <c r="B9" s="618" t="s">
        <v>483</v>
      </c>
      <c r="C9" s="768">
        <v>44</v>
      </c>
      <c r="D9" s="345">
        <v>43.8</v>
      </c>
      <c r="E9" s="716">
        <f t="shared" si="0"/>
        <v>0.20000000000000284</v>
      </c>
      <c r="F9" s="717">
        <v>44</v>
      </c>
      <c r="G9" s="768">
        <f>[7]Sheet1!$J$253</f>
        <v>34.309999999999995</v>
      </c>
      <c r="H9" s="1220">
        <f t="shared" si="1"/>
        <v>9.6900000000000048</v>
      </c>
      <c r="I9" s="1096">
        <f t="shared" si="2"/>
        <v>0.77977272727272717</v>
      </c>
      <c r="J9" s="714">
        <v>44</v>
      </c>
      <c r="K9" s="1220">
        <v>43.8</v>
      </c>
      <c r="L9" s="477">
        <f t="shared" si="3"/>
        <v>0.20000000000000284</v>
      </c>
      <c r="M9" s="1443">
        <v>44</v>
      </c>
      <c r="N9" s="1443">
        <v>44</v>
      </c>
      <c r="O9" s="1511">
        <v>44</v>
      </c>
      <c r="P9" s="1511">
        <v>44</v>
      </c>
      <c r="Q9" s="204">
        <f>'[14]Summ by Dept'!$J$253</f>
        <v>178.07500000000002</v>
      </c>
      <c r="R9" s="1024">
        <f t="shared" si="4"/>
        <v>134.07500000000002</v>
      </c>
      <c r="S9" s="1721">
        <v>1612</v>
      </c>
    </row>
    <row r="10" spans="1:19" ht="24.95" customHeight="1" thickBot="1" x14ac:dyDescent="0.35">
      <c r="A10" s="619">
        <v>124</v>
      </c>
      <c r="B10" s="620" t="s">
        <v>418</v>
      </c>
      <c r="C10" s="768">
        <v>1642</v>
      </c>
      <c r="D10" s="421">
        <v>1342.65</v>
      </c>
      <c r="E10" s="716">
        <f t="shared" si="0"/>
        <v>299.34999999999991</v>
      </c>
      <c r="F10" s="727">
        <v>1527</v>
      </c>
      <c r="G10" s="768">
        <f>[7]Sheet1!$K$253</f>
        <v>1357.2239999999999</v>
      </c>
      <c r="H10" s="1221">
        <f t="shared" si="1"/>
        <v>169.77600000000007</v>
      </c>
      <c r="I10" s="1099">
        <f t="shared" si="2"/>
        <v>0.88881728880157163</v>
      </c>
      <c r="J10" s="715">
        <v>1527</v>
      </c>
      <c r="K10" s="1463">
        <v>1487.93</v>
      </c>
      <c r="L10" s="477">
        <f t="shared" si="3"/>
        <v>39.069999999999936</v>
      </c>
      <c r="M10" s="1464">
        <v>1604</v>
      </c>
      <c r="N10" s="1464">
        <v>1604</v>
      </c>
      <c r="O10" s="1511">
        <v>1704.19</v>
      </c>
      <c r="P10" s="1511">
        <v>1604</v>
      </c>
      <c r="Q10" s="204">
        <f>'[14]Summ by Dept'!$K$253</f>
        <v>1500.9090000000001</v>
      </c>
      <c r="R10" s="1024">
        <f t="shared" si="4"/>
        <v>-103.09099999999989</v>
      </c>
      <c r="S10" s="1721">
        <v>1761</v>
      </c>
    </row>
    <row r="11" spans="1:19" ht="24.95" customHeight="1" thickBot="1" x14ac:dyDescent="0.4">
      <c r="A11" s="190"/>
      <c r="B11" s="621" t="s">
        <v>415</v>
      </c>
      <c r="C11" s="614">
        <f>SUM(C5:C10)</f>
        <v>32149</v>
      </c>
      <c r="D11" s="614">
        <f>SUM(D5:D10)</f>
        <v>31440.07</v>
      </c>
      <c r="E11" s="557">
        <f>SUM(E5:E10)</f>
        <v>708.93000000000143</v>
      </c>
      <c r="F11" s="557">
        <f>SUM(F5:F10)</f>
        <v>33362</v>
      </c>
      <c r="G11" s="221">
        <f>SUM(G5:G10)</f>
        <v>30537.601999999999</v>
      </c>
      <c r="H11" s="1222">
        <f t="shared" si="1"/>
        <v>2824.398000000001</v>
      </c>
      <c r="I11" s="1082">
        <f t="shared" si="2"/>
        <v>0.91534086685450511</v>
      </c>
      <c r="J11" s="221">
        <f>SUM(J5:J10)</f>
        <v>33370</v>
      </c>
      <c r="K11" s="1023">
        <f t="shared" ref="K11:S11" si="5">SUM(K5:K10)</f>
        <v>35753.980000000003</v>
      </c>
      <c r="L11" s="221">
        <f>J11-K11</f>
        <v>-2383.9800000000032</v>
      </c>
      <c r="M11" s="1023">
        <f t="shared" si="5"/>
        <v>34475</v>
      </c>
      <c r="N11" s="1023">
        <f t="shared" si="5"/>
        <v>34475</v>
      </c>
      <c r="O11" s="1023">
        <f t="shared" si="5"/>
        <v>35896.19</v>
      </c>
      <c r="P11" s="1023">
        <f t="shared" si="5"/>
        <v>34190</v>
      </c>
      <c r="Q11" s="1023">
        <f t="shared" si="5"/>
        <v>36671.108999999989</v>
      </c>
      <c r="R11" s="1023">
        <f t="shared" si="5"/>
        <v>2481.1089999999967</v>
      </c>
      <c r="S11" s="1722">
        <f t="shared" si="5"/>
        <v>38100</v>
      </c>
    </row>
  </sheetData>
  <phoneticPr fontId="20" type="noConversion"/>
  <pageMargins left="0.75" right="0.75" top="1" bottom="1" header="0.5" footer="0.5"/>
  <pageSetup paperSize="5" scale="76" fitToHeight="0" orientation="portrait" r:id="rId1"/>
  <headerFooter alignWithMargins="0">
    <oddHeader>&amp;RPAGE 24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10"/>
  <sheetViews>
    <sheetView workbookViewId="0">
      <selection activeCell="B2" sqref="B2"/>
    </sheetView>
  </sheetViews>
  <sheetFormatPr defaultRowHeight="15" x14ac:dyDescent="0.25"/>
  <cols>
    <col min="2" max="2" width="17.85546875" customWidth="1"/>
    <col min="3" max="3" width="31.42578125" hidden="1" customWidth="1"/>
    <col min="4" max="4" width="26.7109375" hidden="1" customWidth="1"/>
    <col min="5" max="5" width="15" style="76" hidden="1" customWidth="1"/>
    <col min="6" max="6" width="16.7109375" hidden="1" customWidth="1"/>
    <col min="7" max="7" width="15.5703125" hidden="1" customWidth="1"/>
    <col min="8" max="8" width="17.7109375" style="76" hidden="1" customWidth="1"/>
    <col min="9" max="9" width="18.28515625" style="144" hidden="1" customWidth="1"/>
    <col min="10" max="10" width="13" style="76" hidden="1" customWidth="1"/>
    <col min="11" max="11" width="19.7109375" hidden="1" customWidth="1"/>
    <col min="12" max="12" width="18.140625" customWidth="1"/>
    <col min="13" max="13" width="13.140625" customWidth="1"/>
  </cols>
  <sheetData>
    <row r="1" spans="1:14" ht="22.5" customHeight="1" x14ac:dyDescent="0.4">
      <c r="A1" s="20" t="s">
        <v>424</v>
      </c>
      <c r="B1" s="20"/>
      <c r="C1" s="20"/>
      <c r="D1" s="3"/>
      <c r="E1" s="5"/>
      <c r="F1" s="3"/>
      <c r="G1" s="3"/>
      <c r="H1" s="5"/>
      <c r="I1" s="168"/>
      <c r="J1" s="5"/>
      <c r="K1" s="5"/>
      <c r="L1" s="5"/>
      <c r="M1" s="5"/>
    </row>
    <row r="2" spans="1:14" ht="22.5" customHeight="1" x14ac:dyDescent="0.4">
      <c r="A2" s="20"/>
      <c r="B2" s="20"/>
      <c r="C2" s="20"/>
      <c r="D2" s="4"/>
      <c r="E2" s="346"/>
      <c r="F2" s="4"/>
      <c r="G2" s="4"/>
      <c r="H2" s="346"/>
      <c r="I2" s="424"/>
      <c r="J2" s="346"/>
      <c r="K2" s="346"/>
      <c r="L2" s="346"/>
      <c r="M2" s="346"/>
    </row>
    <row r="3" spans="1:14" ht="22.5" customHeight="1" thickBot="1" x14ac:dyDescent="0.45">
      <c r="A3" s="157"/>
      <c r="B3" s="264"/>
      <c r="C3" s="22"/>
      <c r="D3" s="3" t="s">
        <v>735</v>
      </c>
      <c r="E3" s="347"/>
      <c r="F3" s="7"/>
      <c r="G3" s="7"/>
      <c r="H3" s="8"/>
      <c r="I3" s="425"/>
      <c r="J3" s="347"/>
      <c r="K3" s="347"/>
      <c r="L3" s="347"/>
      <c r="M3" s="347"/>
    </row>
    <row r="4" spans="1:14" s="93" customFormat="1" ht="69.95" customHeight="1" thickBot="1" x14ac:dyDescent="0.4">
      <c r="A4" s="375" t="s">
        <v>631</v>
      </c>
      <c r="B4" s="376" t="s">
        <v>630</v>
      </c>
      <c r="C4" s="121" t="s">
        <v>494</v>
      </c>
      <c r="D4" s="196" t="s">
        <v>687</v>
      </c>
      <c r="E4" s="325" t="s">
        <v>633</v>
      </c>
      <c r="F4" s="324" t="s">
        <v>575</v>
      </c>
      <c r="G4" s="323" t="s">
        <v>634</v>
      </c>
      <c r="H4" s="330" t="s">
        <v>699</v>
      </c>
      <c r="I4" s="479" t="s">
        <v>700</v>
      </c>
      <c r="J4" s="422" t="s">
        <v>616</v>
      </c>
      <c r="K4" s="431" t="s">
        <v>691</v>
      </c>
      <c r="L4" s="431" t="s">
        <v>761</v>
      </c>
      <c r="M4" s="613" t="s">
        <v>617</v>
      </c>
      <c r="N4" s="613" t="s">
        <v>871</v>
      </c>
    </row>
    <row r="5" spans="1:14" ht="15.75" x14ac:dyDescent="0.3">
      <c r="A5" s="73">
        <v>290</v>
      </c>
      <c r="B5" s="74" t="s">
        <v>425</v>
      </c>
      <c r="C5" s="96">
        <v>7220</v>
      </c>
      <c r="D5" s="96">
        <v>7220</v>
      </c>
      <c r="H5" s="76">
        <v>6618</v>
      </c>
      <c r="I5" s="144">
        <f>H5/D5</f>
        <v>0.91662049861495842</v>
      </c>
      <c r="J5" s="85"/>
      <c r="K5" s="85">
        <v>6137</v>
      </c>
      <c r="L5" s="85">
        <v>0</v>
      </c>
      <c r="M5" s="85"/>
    </row>
    <row r="6" spans="1:14" ht="15.75" x14ac:dyDescent="0.3">
      <c r="A6" s="73">
        <v>408</v>
      </c>
      <c r="B6" s="75" t="s">
        <v>426</v>
      </c>
      <c r="C6" s="98">
        <v>100</v>
      </c>
      <c r="D6" s="98">
        <v>100</v>
      </c>
      <c r="E6" s="118"/>
      <c r="F6" s="82"/>
      <c r="G6" s="82"/>
      <c r="H6" s="118"/>
      <c r="I6" s="426"/>
      <c r="J6" s="98"/>
      <c r="K6" s="119"/>
      <c r="L6" s="119"/>
      <c r="M6" s="82"/>
    </row>
    <row r="7" spans="1:14" ht="18" x14ac:dyDescent="0.35">
      <c r="A7" s="170"/>
      <c r="B7" s="170" t="s">
        <v>415</v>
      </c>
      <c r="C7" s="120">
        <f t="shared" ref="C7:K7" si="0">SUM(C5:C6)</f>
        <v>7320</v>
      </c>
      <c r="D7" s="120">
        <f t="shared" si="0"/>
        <v>7320</v>
      </c>
      <c r="E7" s="120">
        <f t="shared" si="0"/>
        <v>0</v>
      </c>
      <c r="F7" s="120">
        <f t="shared" si="0"/>
        <v>0</v>
      </c>
      <c r="G7" s="120">
        <f t="shared" si="0"/>
        <v>0</v>
      </c>
      <c r="H7" s="120">
        <f t="shared" si="0"/>
        <v>6618</v>
      </c>
      <c r="I7" s="399">
        <f>H7/D7</f>
        <v>0.90409836065573768</v>
      </c>
      <c r="J7" s="120">
        <f t="shared" si="0"/>
        <v>0</v>
      </c>
      <c r="K7" s="120">
        <f t="shared" si="0"/>
        <v>6137</v>
      </c>
      <c r="L7" s="120">
        <f>SUM(L5:L6)</f>
        <v>0</v>
      </c>
      <c r="M7" s="664">
        <f>SUM(M5:M6)</f>
        <v>0</v>
      </c>
    </row>
    <row r="10" spans="1:14" ht="26.25" x14ac:dyDescent="0.4">
      <c r="A10" s="708" t="s">
        <v>762</v>
      </c>
      <c r="B10" s="1424" t="s">
        <v>953</v>
      </c>
    </row>
  </sheetData>
  <phoneticPr fontId="20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9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20.5703125" customWidth="1"/>
    <col min="3" max="3" width="11.5703125" hidden="1" customWidth="1"/>
    <col min="4" max="4" width="19.42578125" hidden="1" customWidth="1"/>
    <col min="5" max="5" width="16" style="76" hidden="1" customWidth="1"/>
    <col min="6" max="6" width="15.140625" style="76" hidden="1" customWidth="1"/>
    <col min="7" max="7" width="14.7109375" style="76" hidden="1" customWidth="1"/>
    <col min="8" max="8" width="19.28515625" style="76" hidden="1" customWidth="1"/>
    <col min="9" max="9" width="17.7109375" style="144" hidden="1" customWidth="1"/>
    <col min="10" max="10" width="14.28515625" style="76" hidden="1" customWidth="1"/>
    <col min="11" max="11" width="17.85546875" hidden="1" customWidth="1"/>
    <col min="12" max="12" width="14.7109375" customWidth="1"/>
    <col min="13" max="13" width="17.42578125" customWidth="1"/>
  </cols>
  <sheetData>
    <row r="1" spans="1:13" ht="22.5" customHeight="1" x14ac:dyDescent="0.4">
      <c r="A1" s="20" t="s">
        <v>427</v>
      </c>
      <c r="B1" s="20"/>
      <c r="C1" s="20"/>
      <c r="D1" s="3"/>
      <c r="E1" s="5"/>
      <c r="F1" s="5"/>
      <c r="G1" s="5"/>
      <c r="H1" s="5"/>
      <c r="I1" s="168"/>
      <c r="J1" s="5"/>
      <c r="K1" s="5"/>
      <c r="L1" s="5"/>
      <c r="M1" s="5"/>
    </row>
    <row r="2" spans="1:13" ht="22.5" customHeight="1" x14ac:dyDescent="0.4">
      <c r="A2" s="20"/>
      <c r="B2" s="20"/>
      <c r="C2" s="20"/>
      <c r="D2" s="4"/>
      <c r="E2" s="346"/>
      <c r="F2" s="346"/>
      <c r="G2" s="346"/>
      <c r="H2" s="346"/>
      <c r="I2" s="424"/>
      <c r="J2" s="346"/>
      <c r="K2" s="346"/>
      <c r="L2" s="346"/>
      <c r="M2" s="346"/>
    </row>
    <row r="3" spans="1:13" ht="22.5" customHeight="1" thickBot="1" x14ac:dyDescent="0.45">
      <c r="A3" s="264"/>
      <c r="B3" s="22"/>
      <c r="C3" s="22"/>
      <c r="D3" s="7"/>
      <c r="E3" s="347"/>
      <c r="F3" s="347"/>
      <c r="G3" s="347"/>
      <c r="H3" s="347"/>
      <c r="I3" s="425"/>
      <c r="J3" s="347"/>
      <c r="K3" s="347"/>
      <c r="L3" s="347"/>
      <c r="M3" s="347"/>
    </row>
    <row r="4" spans="1:13" s="93" customFormat="1" ht="69.95" customHeight="1" thickBot="1" x14ac:dyDescent="0.4">
      <c r="A4" s="355" t="s">
        <v>631</v>
      </c>
      <c r="B4" s="356" t="s">
        <v>630</v>
      </c>
      <c r="C4" s="196" t="s">
        <v>494</v>
      </c>
      <c r="D4" s="196" t="s">
        <v>688</v>
      </c>
      <c r="E4" s="325" t="s">
        <v>633</v>
      </c>
      <c r="F4" s="348" t="s">
        <v>575</v>
      </c>
      <c r="G4" s="325" t="s">
        <v>634</v>
      </c>
      <c r="H4" s="330" t="s">
        <v>699</v>
      </c>
      <c r="I4" s="479" t="s">
        <v>700</v>
      </c>
      <c r="J4" s="422" t="s">
        <v>616</v>
      </c>
      <c r="K4" s="431" t="s">
        <v>691</v>
      </c>
      <c r="L4" s="431" t="s">
        <v>761</v>
      </c>
      <c r="M4" s="613" t="s">
        <v>617</v>
      </c>
    </row>
    <row r="5" spans="1:13" ht="18.75" thickBot="1" x14ac:dyDescent="0.4">
      <c r="A5" s="295">
        <v>290</v>
      </c>
      <c r="B5" s="296" t="s">
        <v>425</v>
      </c>
      <c r="C5" s="310">
        <v>2500</v>
      </c>
      <c r="D5" s="310">
        <v>12500</v>
      </c>
      <c r="E5" s="338"/>
      <c r="F5" s="338"/>
      <c r="G5" s="338"/>
      <c r="H5" s="338">
        <f>[5]Sheet1!$BZ$281</f>
        <v>12500</v>
      </c>
      <c r="I5" s="427">
        <f>H5/D5</f>
        <v>1</v>
      </c>
      <c r="J5" s="482">
        <v>12500</v>
      </c>
      <c r="K5" s="482">
        <v>10625</v>
      </c>
      <c r="L5" s="482">
        <v>0</v>
      </c>
      <c r="M5" s="641">
        <v>0</v>
      </c>
    </row>
    <row r="6" spans="1:13" s="99" customFormat="1" ht="18" x14ac:dyDescent="0.35">
      <c r="A6" s="142"/>
      <c r="B6" s="69" t="s">
        <v>415</v>
      </c>
      <c r="C6" s="120">
        <f t="shared" ref="C6:J6" si="0">SUM(C5)</f>
        <v>2500</v>
      </c>
      <c r="D6" s="120">
        <f t="shared" si="0"/>
        <v>12500</v>
      </c>
      <c r="E6" s="120">
        <f t="shared" si="0"/>
        <v>0</v>
      </c>
      <c r="F6" s="120">
        <f t="shared" si="0"/>
        <v>0</v>
      </c>
      <c r="G6" s="120">
        <f t="shared" si="0"/>
        <v>0</v>
      </c>
      <c r="H6" s="120">
        <f t="shared" si="0"/>
        <v>12500</v>
      </c>
      <c r="I6" s="399">
        <f t="shared" si="0"/>
        <v>1</v>
      </c>
      <c r="J6" s="120">
        <f t="shared" si="0"/>
        <v>12500</v>
      </c>
      <c r="K6" s="120">
        <f>SUM(K5)</f>
        <v>10625</v>
      </c>
      <c r="L6" s="120">
        <f>SUM(L5)</f>
        <v>0</v>
      </c>
      <c r="M6" s="642">
        <f>SUM(M5)</f>
        <v>0</v>
      </c>
    </row>
    <row r="7" spans="1:13" ht="15.75" x14ac:dyDescent="0.25">
      <c r="M7" s="170"/>
    </row>
    <row r="9" spans="1:13" ht="28.5" x14ac:dyDescent="0.45">
      <c r="A9" s="708" t="s">
        <v>762</v>
      </c>
      <c r="B9" s="1422" t="s">
        <v>953</v>
      </c>
    </row>
  </sheetData>
  <phoneticPr fontId="2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F9F99-9BC4-40AD-A8DF-D8083AAC4D6A}">
  <dimension ref="A1:K8"/>
  <sheetViews>
    <sheetView workbookViewId="0">
      <selection activeCell="J1" sqref="J1:J1048576"/>
    </sheetView>
  </sheetViews>
  <sheetFormatPr defaultRowHeight="15" x14ac:dyDescent="0.25"/>
  <cols>
    <col min="1" max="1" width="19.140625" customWidth="1"/>
    <col min="2" max="2" width="28.85546875" customWidth="1"/>
    <col min="3" max="3" width="13.85546875" hidden="1" customWidth="1"/>
    <col min="4" max="5" width="12.7109375" hidden="1" customWidth="1"/>
    <col min="6" max="6" width="12.85546875" hidden="1" customWidth="1"/>
    <col min="7" max="7" width="24.85546875" hidden="1" customWidth="1"/>
    <col min="8" max="8" width="14.140625" customWidth="1"/>
    <col min="9" max="9" width="15" customWidth="1"/>
    <col min="10" max="10" width="16.140625" hidden="1" customWidth="1"/>
    <col min="11" max="11" width="15.85546875" style="204" customWidth="1"/>
  </cols>
  <sheetData>
    <row r="1" spans="1:11" ht="22.5" customHeight="1" x14ac:dyDescent="0.4">
      <c r="A1" s="20" t="s">
        <v>979</v>
      </c>
      <c r="B1" s="20"/>
      <c r="C1" s="168"/>
      <c r="D1" s="5"/>
      <c r="E1" s="5"/>
      <c r="F1" s="5"/>
      <c r="G1" s="5"/>
      <c r="H1" s="264"/>
      <c r="I1" s="264"/>
      <c r="J1" s="264"/>
      <c r="K1" s="1723"/>
    </row>
    <row r="2" spans="1:11" ht="22.5" customHeight="1" x14ac:dyDescent="0.4">
      <c r="A2" s="20"/>
      <c r="B2" s="20" t="s">
        <v>1006</v>
      </c>
      <c r="C2" s="424"/>
      <c r="D2" s="346"/>
      <c r="E2" s="346"/>
      <c r="F2" s="346"/>
      <c r="G2" s="346"/>
      <c r="H2" s="264"/>
      <c r="I2" s="264"/>
      <c r="J2" s="264"/>
      <c r="K2" s="1723"/>
    </row>
    <row r="3" spans="1:11" ht="22.5" customHeight="1" thickBot="1" x14ac:dyDescent="0.45">
      <c r="A3" s="264"/>
      <c r="B3" s="22" t="s">
        <v>1155</v>
      </c>
      <c r="C3" s="425"/>
      <c r="D3" s="347"/>
      <c r="E3" s="347"/>
      <c r="F3" s="347"/>
      <c r="G3" s="347"/>
      <c r="H3" s="264"/>
      <c r="I3" s="264"/>
      <c r="J3" s="264"/>
      <c r="K3" s="1723"/>
    </row>
    <row r="4" spans="1:11" s="93" customFormat="1" ht="69.95" customHeight="1" thickBot="1" x14ac:dyDescent="0.4">
      <c r="A4" s="355" t="s">
        <v>631</v>
      </c>
      <c r="B4" s="356" t="s">
        <v>630</v>
      </c>
      <c r="C4" s="551" t="s">
        <v>944</v>
      </c>
      <c r="D4" s="1441" t="s">
        <v>956</v>
      </c>
      <c r="E4" s="1441" t="s">
        <v>798</v>
      </c>
      <c r="F4" s="1441" t="s">
        <v>942</v>
      </c>
      <c r="G4" s="1441" t="s">
        <v>943</v>
      </c>
      <c r="H4" s="1653" t="s">
        <v>1071</v>
      </c>
      <c r="I4" s="1674" t="s">
        <v>1076</v>
      </c>
      <c r="J4" s="1674" t="s">
        <v>798</v>
      </c>
      <c r="K4" s="1725" t="s">
        <v>1097</v>
      </c>
    </row>
    <row r="5" spans="1:11" ht="18.75" thickBot="1" x14ac:dyDescent="0.4">
      <c r="A5" s="295">
        <v>290</v>
      </c>
      <c r="B5" s="296" t="s">
        <v>425</v>
      </c>
      <c r="C5" s="338">
        <v>0</v>
      </c>
      <c r="D5" s="338">
        <v>0</v>
      </c>
      <c r="E5" s="338">
        <v>0</v>
      </c>
      <c r="F5" s="338">
        <v>32000</v>
      </c>
      <c r="G5" s="1529">
        <f>F5</f>
        <v>32000</v>
      </c>
      <c r="H5" s="1717">
        <f>30000+15000</f>
        <v>45000</v>
      </c>
      <c r="I5" s="146">
        <f>'[14]Summ by Dept'!$CC$295</f>
        <v>30000</v>
      </c>
      <c r="J5" s="146">
        <f>I5-H5</f>
        <v>-15000</v>
      </c>
      <c r="K5" s="1726">
        <v>45000</v>
      </c>
    </row>
    <row r="6" spans="1:11" s="99" customFormat="1" ht="18" x14ac:dyDescent="0.35">
      <c r="A6" s="142"/>
      <c r="B6" s="69" t="s">
        <v>415</v>
      </c>
      <c r="C6" s="67">
        <f t="shared" ref="C6:D6" si="0">SUM(C5)</f>
        <v>0</v>
      </c>
      <c r="D6" s="67">
        <f t="shared" si="0"/>
        <v>0</v>
      </c>
      <c r="E6" s="67">
        <f t="shared" ref="E6:K6" si="1">SUM(E5)</f>
        <v>0</v>
      </c>
      <c r="F6" s="67">
        <f t="shared" si="1"/>
        <v>32000</v>
      </c>
      <c r="G6" s="1530">
        <f t="shared" si="1"/>
        <v>32000</v>
      </c>
      <c r="H6" s="1530">
        <f t="shared" si="1"/>
        <v>45000</v>
      </c>
      <c r="I6" s="1530">
        <f t="shared" si="1"/>
        <v>30000</v>
      </c>
      <c r="J6" s="1530">
        <f t="shared" si="1"/>
        <v>-15000</v>
      </c>
      <c r="K6" s="1724">
        <f t="shared" si="1"/>
        <v>45000</v>
      </c>
    </row>
    <row r="8" spans="1:11" x14ac:dyDescent="0.25">
      <c r="B8" t="s">
        <v>1114</v>
      </c>
    </row>
  </sheetData>
  <pageMargins left="0.7" right="0.7" top="0.75" bottom="0.75" header="0.3" footer="0.3"/>
  <pageSetup paperSize="5" scale="75" orientation="portrait" r:id="rId1"/>
  <headerFooter>
    <oddHeader>&amp;RPAGE 25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39"/>
  <sheetViews>
    <sheetView zoomScaleNormal="100" workbookViewId="0">
      <selection activeCell="R7" sqref="R7"/>
    </sheetView>
  </sheetViews>
  <sheetFormatPr defaultRowHeight="15.75" x14ac:dyDescent="0.25"/>
  <cols>
    <col min="2" max="2" width="54.140625" customWidth="1"/>
    <col min="3" max="3" width="20.28515625" style="85" hidden="1" customWidth="1"/>
    <col min="4" max="4" width="16.140625" hidden="1" customWidth="1"/>
    <col min="5" max="5" width="15.140625" hidden="1" customWidth="1"/>
    <col min="6" max="7" width="22.5703125" hidden="1" customWidth="1"/>
    <col min="8" max="8" width="14.85546875" style="85" hidden="1" customWidth="1"/>
    <col min="9" max="9" width="19.85546875" hidden="1" customWidth="1"/>
    <col min="10" max="10" width="16.85546875" style="144" hidden="1" customWidth="1"/>
    <col min="11" max="11" width="15.28515625" style="345" hidden="1" customWidth="1"/>
    <col min="12" max="13" width="24.140625" style="76" hidden="1" customWidth="1"/>
    <col min="14" max="14" width="21.140625" style="76" hidden="1" customWidth="1"/>
    <col min="15" max="15" width="17.85546875" style="357" bestFit="1" customWidth="1"/>
    <col min="16" max="16" width="16.140625" bestFit="1" customWidth="1"/>
    <col min="17" max="17" width="10.140625" hidden="1" customWidth="1"/>
    <col min="18" max="18" width="16" style="76" customWidth="1"/>
  </cols>
  <sheetData>
    <row r="1" spans="1:18" ht="22.5" customHeight="1" x14ac:dyDescent="0.4">
      <c r="A1" s="141"/>
      <c r="B1" s="141" t="s">
        <v>428</v>
      </c>
      <c r="C1" s="709"/>
      <c r="D1" s="710"/>
      <c r="E1" s="710"/>
      <c r="F1" s="958">
        <f ca="1">TODAY()</f>
        <v>44259</v>
      </c>
      <c r="G1" s="958"/>
      <c r="H1" s="710"/>
      <c r="I1" s="710"/>
      <c r="J1" s="710"/>
      <c r="K1" s="282"/>
      <c r="L1" s="282"/>
      <c r="M1" s="282"/>
      <c r="N1" s="282"/>
      <c r="O1" s="282"/>
      <c r="P1" s="282"/>
      <c r="Q1" s="282"/>
      <c r="R1" s="1288"/>
    </row>
    <row r="2" spans="1:18" ht="33" customHeight="1" x14ac:dyDescent="0.4">
      <c r="A2" s="380"/>
      <c r="B2" s="1078" t="s">
        <v>1155</v>
      </c>
      <c r="C2" s="710"/>
      <c r="D2" s="710"/>
      <c r="E2" s="710"/>
      <c r="F2" s="959">
        <f ca="1">NOW()</f>
        <v>44259.508154745374</v>
      </c>
      <c r="G2" s="959"/>
      <c r="H2" s="710"/>
      <c r="I2" s="710"/>
      <c r="J2" s="710"/>
      <c r="K2" s="282"/>
      <c r="L2" s="282"/>
      <c r="M2" s="282"/>
      <c r="N2" s="282"/>
      <c r="O2" s="282"/>
      <c r="P2" s="282"/>
      <c r="Q2" s="282"/>
      <c r="R2" s="1288"/>
    </row>
    <row r="3" spans="1:18" ht="25.15" customHeight="1" thickBot="1" x14ac:dyDescent="0.45">
      <c r="A3" s="381"/>
      <c r="B3" s="282" t="s">
        <v>1156</v>
      </c>
      <c r="C3" s="710"/>
      <c r="D3" s="710"/>
      <c r="E3" s="710"/>
      <c r="F3" s="710"/>
      <c r="G3" s="710"/>
      <c r="H3" s="710"/>
      <c r="I3" s="710"/>
      <c r="J3" s="710"/>
      <c r="K3" s="282"/>
      <c r="L3" s="282"/>
      <c r="M3" s="282"/>
      <c r="N3" s="282"/>
      <c r="O3" s="282"/>
      <c r="P3" s="282"/>
      <c r="Q3" s="282"/>
      <c r="R3" s="1288"/>
    </row>
    <row r="4" spans="1:18" s="93" customFormat="1" ht="64.900000000000006" customHeight="1" thickBot="1" x14ac:dyDescent="0.45">
      <c r="A4" s="979" t="s">
        <v>631</v>
      </c>
      <c r="B4" s="979" t="s">
        <v>630</v>
      </c>
      <c r="C4" s="473" t="s">
        <v>799</v>
      </c>
      <c r="D4" s="819" t="s">
        <v>811</v>
      </c>
      <c r="E4" s="378" t="s">
        <v>797</v>
      </c>
      <c r="F4" s="612" t="s">
        <v>859</v>
      </c>
      <c r="G4" s="612" t="s">
        <v>857</v>
      </c>
      <c r="H4" s="1070" t="s">
        <v>780</v>
      </c>
      <c r="I4" s="1079" t="s">
        <v>853</v>
      </c>
      <c r="J4" s="1234" t="s">
        <v>854</v>
      </c>
      <c r="K4" s="1306" t="s">
        <v>933</v>
      </c>
      <c r="L4" s="1528" t="s">
        <v>963</v>
      </c>
      <c r="M4" s="1528" t="s">
        <v>983</v>
      </c>
      <c r="N4" s="1428" t="s">
        <v>943</v>
      </c>
      <c r="O4" s="1633" t="s">
        <v>1072</v>
      </c>
      <c r="P4" s="1727" t="s">
        <v>1076</v>
      </c>
      <c r="Q4" s="1727" t="s">
        <v>798</v>
      </c>
      <c r="R4" s="1728" t="s">
        <v>1097</v>
      </c>
    </row>
    <row r="5" spans="1:18" ht="18" x14ac:dyDescent="0.35">
      <c r="A5" s="382">
        <v>113</v>
      </c>
      <c r="B5" s="358" t="s">
        <v>417</v>
      </c>
      <c r="C5" s="815">
        <f>52500+9556</f>
        <v>62056</v>
      </c>
      <c r="D5" s="477">
        <f>50480.77+6825.8</f>
        <v>57306.57</v>
      </c>
      <c r="E5" s="985">
        <f>C5-D5</f>
        <v>4749.43</v>
      </c>
      <c r="F5" s="477">
        <v>70248</v>
      </c>
      <c r="G5" s="1153">
        <f>70248+435.11</f>
        <v>70683.11</v>
      </c>
      <c r="H5" s="815">
        <f>[7]Sheet1!$E$323+[7]Sheet1!$E$338</f>
        <v>63657.464</v>
      </c>
      <c r="I5" s="1102">
        <f>G5-H5</f>
        <v>7025.6460000000006</v>
      </c>
      <c r="J5" s="1215">
        <f>H5/G5</f>
        <v>0.90060360954689178</v>
      </c>
      <c r="K5" s="345">
        <v>10000</v>
      </c>
      <c r="L5" s="332">
        <v>30000</v>
      </c>
      <c r="M5" s="1533"/>
      <c r="N5" s="485"/>
      <c r="O5" s="357">
        <v>50000</v>
      </c>
      <c r="P5" s="76">
        <f>'[14]Summ by Dept'!$E$338</f>
        <v>50603.650000000009</v>
      </c>
      <c r="Q5" s="76">
        <f>P5-O5</f>
        <v>603.65000000000873</v>
      </c>
      <c r="R5" s="76">
        <v>50004</v>
      </c>
    </row>
    <row r="6" spans="1:18" ht="18" x14ac:dyDescent="0.35">
      <c r="A6" s="359">
        <v>121</v>
      </c>
      <c r="B6" s="360" t="s">
        <v>103</v>
      </c>
      <c r="C6" s="816">
        <f>2953+537</f>
        <v>3490</v>
      </c>
      <c r="D6" s="865">
        <f>3057.84+430.7</f>
        <v>3488.54</v>
      </c>
      <c r="E6" s="865">
        <f t="shared" ref="E6:E26" si="0">C6-D6</f>
        <v>1.4600000000000364</v>
      </c>
      <c r="F6" s="124">
        <v>4412</v>
      </c>
      <c r="G6" s="124">
        <v>4412</v>
      </c>
      <c r="H6" s="816">
        <f>[7]Sheet1!$H$338+[7]Sheet1!$H$323</f>
        <v>3970.5119999999997</v>
      </c>
      <c r="I6" s="1097">
        <f t="shared" ref="I6:I9" si="1">F6-H6</f>
        <v>441.48800000000028</v>
      </c>
      <c r="J6" s="1211">
        <f t="shared" ref="J6:J9" si="2">H6/F6</f>
        <v>0.89993472348141423</v>
      </c>
      <c r="L6" s="333">
        <v>1887</v>
      </c>
      <c r="M6" s="1128"/>
      <c r="N6" s="303"/>
      <c r="O6" s="357">
        <v>2390</v>
      </c>
      <c r="P6" s="76">
        <f>'[14]Summ by Dept'!$H$338</f>
        <v>2390.1910000000007</v>
      </c>
      <c r="Q6" s="76">
        <f t="shared" ref="Q6:Q9" si="3">P6-O6</f>
        <v>0.19100000000071304</v>
      </c>
      <c r="R6" s="76">
        <v>2175</v>
      </c>
    </row>
    <row r="7" spans="1:18" ht="18" x14ac:dyDescent="0.35">
      <c r="A7" s="359">
        <v>122</v>
      </c>
      <c r="B7" s="360" t="s">
        <v>104</v>
      </c>
      <c r="C7" s="816">
        <f>7628+1611</f>
        <v>9239</v>
      </c>
      <c r="D7" s="865">
        <f>8429+1691</f>
        <v>10120</v>
      </c>
      <c r="E7" s="865">
        <f t="shared" si="0"/>
        <v>-881</v>
      </c>
      <c r="F7" s="124">
        <v>14784</v>
      </c>
      <c r="G7" s="124">
        <v>14784</v>
      </c>
      <c r="H7" s="816">
        <f>[7]Sheet1!$I$338+[7]Sheet1!$I$323</f>
        <v>12960.5</v>
      </c>
      <c r="I7" s="1097">
        <f t="shared" si="1"/>
        <v>1823.5</v>
      </c>
      <c r="J7" s="1211">
        <f t="shared" si="2"/>
        <v>0.87665719696969702</v>
      </c>
      <c r="L7" s="333"/>
      <c r="M7" s="1128"/>
      <c r="N7" s="303"/>
      <c r="O7" s="357">
        <v>5028</v>
      </c>
      <c r="P7" s="76">
        <f>'[14]Summ by Dept'!$I$338</f>
        <v>5266.05</v>
      </c>
      <c r="Q7" s="76">
        <f t="shared" si="3"/>
        <v>238.05000000000018</v>
      </c>
      <c r="R7" s="76">
        <v>12240</v>
      </c>
    </row>
    <row r="8" spans="1:18" ht="18" x14ac:dyDescent="0.35">
      <c r="A8" s="359">
        <v>123</v>
      </c>
      <c r="B8" s="360" t="s">
        <v>105</v>
      </c>
      <c r="C8" s="816">
        <f>44+15</f>
        <v>59</v>
      </c>
      <c r="D8" s="865">
        <f>43.8+8.03</f>
        <v>51.83</v>
      </c>
      <c r="E8" s="865">
        <f t="shared" si="0"/>
        <v>7.1700000000000017</v>
      </c>
      <c r="F8" s="124">
        <v>60</v>
      </c>
      <c r="G8" s="124">
        <v>60</v>
      </c>
      <c r="H8" s="816">
        <f>[7]Sheet1!$J$338+[7]Sheet1!$J$323</f>
        <v>53.143999999999991</v>
      </c>
      <c r="I8" s="1097">
        <f t="shared" si="1"/>
        <v>6.8560000000000088</v>
      </c>
      <c r="J8" s="1211">
        <f t="shared" si="2"/>
        <v>0.88573333333333315</v>
      </c>
      <c r="L8" s="333"/>
      <c r="M8" s="1128"/>
      <c r="N8" s="303"/>
      <c r="O8" s="357">
        <v>44</v>
      </c>
      <c r="P8" s="76">
        <f>'[14]Summ by Dept'!$J$338</f>
        <v>44.515000000000001</v>
      </c>
      <c r="Q8" s="76">
        <f t="shared" si="3"/>
        <v>0.51500000000000057</v>
      </c>
      <c r="R8" s="76">
        <v>45</v>
      </c>
    </row>
    <row r="9" spans="1:18" ht="18" x14ac:dyDescent="0.35">
      <c r="A9" s="359">
        <v>124</v>
      </c>
      <c r="B9" s="360" t="s">
        <v>418</v>
      </c>
      <c r="C9" s="816">
        <f>4017+679</f>
        <v>4696</v>
      </c>
      <c r="D9" s="124">
        <f>3707.3+522.18</f>
        <v>4229.4800000000005</v>
      </c>
      <c r="E9" s="865">
        <f t="shared" si="0"/>
        <v>466.51999999999953</v>
      </c>
      <c r="F9" s="124">
        <v>5374</v>
      </c>
      <c r="G9" s="124">
        <v>5374</v>
      </c>
      <c r="H9" s="816">
        <f>[7]Sheet1!$K$338+[7]Sheet1!$K$323</f>
        <v>4869.7819999999992</v>
      </c>
      <c r="I9" s="1097">
        <f t="shared" si="1"/>
        <v>504.21800000000076</v>
      </c>
      <c r="J9" s="1211">
        <f t="shared" si="2"/>
        <v>0.906174544101228</v>
      </c>
      <c r="K9" s="345">
        <v>765</v>
      </c>
      <c r="L9" s="333">
        <v>2295</v>
      </c>
      <c r="M9" s="1128"/>
      <c r="N9" s="303"/>
      <c r="O9" s="357">
        <v>3825</v>
      </c>
      <c r="P9" s="76">
        <f>'[14]Summ by Dept'!$K$338</f>
        <v>3813.0279999999998</v>
      </c>
      <c r="Q9" s="76">
        <f t="shared" si="3"/>
        <v>-11.972000000000207</v>
      </c>
      <c r="R9" s="76">
        <v>3826</v>
      </c>
    </row>
    <row r="10" spans="1:18" ht="18" x14ac:dyDescent="0.35">
      <c r="A10" s="359">
        <v>153</v>
      </c>
      <c r="B10" s="360" t="s">
        <v>402</v>
      </c>
      <c r="C10" s="816"/>
      <c r="D10" s="177"/>
      <c r="E10" s="865">
        <f t="shared" si="0"/>
        <v>0</v>
      </c>
      <c r="F10" s="124"/>
      <c r="G10" s="124"/>
      <c r="H10" s="816"/>
      <c r="I10" s="1095"/>
      <c r="J10" s="1211"/>
      <c r="L10" s="333"/>
      <c r="M10" s="1128"/>
      <c r="N10" s="303"/>
      <c r="R10" s="1555"/>
    </row>
    <row r="11" spans="1:18" ht="18" x14ac:dyDescent="0.35">
      <c r="A11" s="359">
        <v>167</v>
      </c>
      <c r="B11" s="360" t="s">
        <v>429</v>
      </c>
      <c r="C11" s="816"/>
      <c r="D11" s="177"/>
      <c r="E11" s="865">
        <f t="shared" si="0"/>
        <v>0</v>
      </c>
      <c r="F11" s="124"/>
      <c r="G11" s="124"/>
      <c r="H11" s="816"/>
      <c r="I11" s="1095"/>
      <c r="J11" s="1211"/>
      <c r="L11" s="333"/>
      <c r="M11" s="1128"/>
      <c r="N11" s="303"/>
      <c r="R11" s="1555"/>
    </row>
    <row r="12" spans="1:18" ht="18" x14ac:dyDescent="0.35">
      <c r="A12" s="359">
        <v>199</v>
      </c>
      <c r="B12" s="360" t="s">
        <v>422</v>
      </c>
      <c r="C12" s="816"/>
      <c r="D12" s="124"/>
      <c r="E12" s="865">
        <f t="shared" si="0"/>
        <v>0</v>
      </c>
      <c r="F12" s="124"/>
      <c r="G12" s="124"/>
      <c r="H12" s="816"/>
      <c r="I12" s="1095"/>
      <c r="J12" s="1211"/>
      <c r="L12" s="333"/>
      <c r="M12" s="1128"/>
      <c r="N12" s="303"/>
      <c r="R12" s="1555"/>
    </row>
    <row r="13" spans="1:18" ht="18" x14ac:dyDescent="0.35">
      <c r="A13" s="359">
        <v>211</v>
      </c>
      <c r="B13" s="360" t="s">
        <v>409</v>
      </c>
      <c r="C13" s="816"/>
      <c r="D13" s="124"/>
      <c r="E13" s="865">
        <f t="shared" si="0"/>
        <v>0</v>
      </c>
      <c r="F13" s="124"/>
      <c r="G13" s="124"/>
      <c r="H13" s="816"/>
      <c r="I13" s="1095"/>
      <c r="J13" s="1211"/>
      <c r="L13" s="333"/>
      <c r="M13" s="1128"/>
      <c r="N13" s="303"/>
      <c r="R13" s="1555"/>
    </row>
    <row r="14" spans="1:18" ht="18" x14ac:dyDescent="0.35">
      <c r="A14" s="359">
        <v>216</v>
      </c>
      <c r="B14" s="360" t="s">
        <v>403</v>
      </c>
      <c r="C14" s="816"/>
      <c r="D14" s="124"/>
      <c r="E14" s="865">
        <f t="shared" si="0"/>
        <v>0</v>
      </c>
      <c r="F14" s="124"/>
      <c r="G14" s="124"/>
      <c r="H14" s="816"/>
      <c r="I14" s="1095"/>
      <c r="J14" s="1211"/>
      <c r="L14" s="333"/>
      <c r="M14" s="1128"/>
      <c r="N14" s="303"/>
      <c r="R14" s="1555"/>
    </row>
    <row r="15" spans="1:18" ht="18" x14ac:dyDescent="0.35">
      <c r="A15" s="359">
        <v>231</v>
      </c>
      <c r="B15" s="360" t="s">
        <v>379</v>
      </c>
      <c r="C15" s="816"/>
      <c r="D15" s="177"/>
      <c r="E15" s="865">
        <f t="shared" si="0"/>
        <v>0</v>
      </c>
      <c r="F15" s="124"/>
      <c r="G15" s="124"/>
      <c r="H15" s="816"/>
      <c r="I15" s="1095"/>
      <c r="J15" s="1211"/>
      <c r="L15" s="333"/>
      <c r="M15" s="1128"/>
      <c r="N15" s="303"/>
      <c r="R15" s="1555"/>
    </row>
    <row r="16" spans="1:18" ht="18" x14ac:dyDescent="0.35">
      <c r="A16" s="359">
        <v>240</v>
      </c>
      <c r="B16" s="360" t="s">
        <v>316</v>
      </c>
      <c r="C16" s="816"/>
      <c r="D16" s="177"/>
      <c r="E16" s="865">
        <f t="shared" si="0"/>
        <v>0</v>
      </c>
      <c r="F16" s="124"/>
      <c r="G16" s="124"/>
      <c r="H16" s="816"/>
      <c r="I16" s="1095"/>
      <c r="J16" s="1211"/>
      <c r="L16" s="333"/>
      <c r="M16" s="1128"/>
      <c r="N16" s="303"/>
      <c r="R16" s="1555"/>
    </row>
    <row r="17" spans="1:18" ht="18" x14ac:dyDescent="0.35">
      <c r="A17" s="359">
        <v>251</v>
      </c>
      <c r="B17" s="360" t="s">
        <v>98</v>
      </c>
      <c r="C17" s="816">
        <v>150</v>
      </c>
      <c r="D17" s="124">
        <v>840.38</v>
      </c>
      <c r="E17" s="865">
        <f t="shared" si="0"/>
        <v>-690.38</v>
      </c>
      <c r="F17" s="124">
        <v>800</v>
      </c>
      <c r="G17" s="124">
        <v>800</v>
      </c>
      <c r="H17" s="816">
        <f>[7]Sheet1!$BN$338</f>
        <v>678.34</v>
      </c>
      <c r="I17" s="1097">
        <f t="shared" ref="I17" si="4">F17-H17</f>
        <v>121.65999999999997</v>
      </c>
      <c r="J17" s="1211">
        <f t="shared" ref="J17" si="5">H17/F17</f>
        <v>0.84792500000000004</v>
      </c>
      <c r="K17" s="345">
        <v>800</v>
      </c>
      <c r="L17" s="333"/>
      <c r="M17" s="1128"/>
      <c r="N17" s="303"/>
      <c r="R17" s="1555"/>
    </row>
    <row r="18" spans="1:18" ht="18" x14ac:dyDescent="0.35">
      <c r="A18" s="359">
        <v>262</v>
      </c>
      <c r="B18" s="360" t="s">
        <v>686</v>
      </c>
      <c r="C18" s="816">
        <v>400</v>
      </c>
      <c r="D18" s="124"/>
      <c r="E18" s="865">
        <f t="shared" si="0"/>
        <v>400</v>
      </c>
      <c r="F18" s="124"/>
      <c r="G18" s="124"/>
      <c r="H18" s="816"/>
      <c r="I18" s="1095"/>
      <c r="J18" s="1211"/>
      <c r="L18" s="333"/>
      <c r="M18" s="1128"/>
      <c r="N18" s="303"/>
      <c r="R18" s="1555"/>
    </row>
    <row r="19" spans="1:18" ht="18" x14ac:dyDescent="0.35">
      <c r="A19" s="359">
        <v>271</v>
      </c>
      <c r="B19" s="360" t="s">
        <v>318</v>
      </c>
      <c r="C19" s="816"/>
      <c r="D19" s="177"/>
      <c r="E19" s="865">
        <f t="shared" si="0"/>
        <v>0</v>
      </c>
      <c r="F19" s="124"/>
      <c r="G19" s="124"/>
      <c r="H19" s="816"/>
      <c r="I19" s="1095"/>
      <c r="J19" s="1211"/>
      <c r="L19" s="333"/>
      <c r="M19" s="1128"/>
      <c r="N19" s="303"/>
      <c r="R19" s="1555"/>
    </row>
    <row r="20" spans="1:18" ht="18" x14ac:dyDescent="0.35">
      <c r="A20" s="359">
        <v>157</v>
      </c>
      <c r="B20" s="360" t="s">
        <v>430</v>
      </c>
      <c r="C20" s="816">
        <v>3000</v>
      </c>
      <c r="D20" s="177"/>
      <c r="E20" s="865">
        <f t="shared" si="0"/>
        <v>3000</v>
      </c>
      <c r="F20" s="124">
        <v>3000</v>
      </c>
      <c r="G20" s="124">
        <v>3000</v>
      </c>
      <c r="H20" s="816">
        <f>[7]Sheet1!$U$338</f>
        <v>300</v>
      </c>
      <c r="I20" s="1097">
        <f t="shared" ref="I20:I21" si="6">F20-H20</f>
        <v>2700</v>
      </c>
      <c r="J20" s="1211">
        <f t="shared" ref="J20:J21" si="7">H20/F20</f>
        <v>0.1</v>
      </c>
      <c r="K20" s="345">
        <v>2701</v>
      </c>
      <c r="L20" s="333">
        <v>992</v>
      </c>
      <c r="M20" s="1128">
        <v>10000</v>
      </c>
      <c r="N20" s="303">
        <f>M20</f>
        <v>10000</v>
      </c>
      <c r="O20" s="1553">
        <v>3000</v>
      </c>
      <c r="P20" s="76">
        <f>'[14]Summ by Dept'!$U$338</f>
        <v>2295</v>
      </c>
      <c r="Q20" s="76">
        <f t="shared" ref="Q20" si="8">P20-O20</f>
        <v>-705</v>
      </c>
      <c r="R20" s="1555">
        <v>2295</v>
      </c>
    </row>
    <row r="21" spans="1:18" ht="18" x14ac:dyDescent="0.35">
      <c r="A21" s="361" t="s">
        <v>431</v>
      </c>
      <c r="B21" s="360" t="s">
        <v>432</v>
      </c>
      <c r="C21" s="816">
        <v>5000</v>
      </c>
      <c r="D21" s="865">
        <v>5722</v>
      </c>
      <c r="E21" s="865">
        <f t="shared" si="0"/>
        <v>-722</v>
      </c>
      <c r="F21" s="124">
        <v>5000</v>
      </c>
      <c r="G21" s="124">
        <v>5000</v>
      </c>
      <c r="H21" s="816">
        <f>[7]Sheet1!$AJ$338</f>
        <v>1495</v>
      </c>
      <c r="I21" s="1097">
        <f t="shared" si="6"/>
        <v>3505</v>
      </c>
      <c r="J21" s="1211">
        <f t="shared" si="7"/>
        <v>0.29899999999999999</v>
      </c>
      <c r="L21" s="333"/>
      <c r="M21" s="1128"/>
      <c r="N21" s="303"/>
      <c r="R21" s="1555"/>
    </row>
    <row r="22" spans="1:18" ht="18" x14ac:dyDescent="0.35">
      <c r="A22" s="359">
        <v>290</v>
      </c>
      <c r="B22" s="360" t="s">
        <v>763</v>
      </c>
      <c r="C22" s="816"/>
      <c r="D22" s="177"/>
      <c r="E22" s="865">
        <f t="shared" si="0"/>
        <v>0</v>
      </c>
      <c r="F22" s="124"/>
      <c r="G22" s="705"/>
      <c r="H22" s="816"/>
      <c r="I22" s="1095"/>
      <c r="J22" s="1211"/>
      <c r="L22" s="333"/>
      <c r="M22" s="1128"/>
      <c r="N22" s="303"/>
      <c r="R22" s="1555"/>
    </row>
    <row r="23" spans="1:18" ht="18" x14ac:dyDescent="0.35">
      <c r="A23" s="359">
        <v>290</v>
      </c>
      <c r="B23" s="360" t="s">
        <v>764</v>
      </c>
      <c r="C23" s="816"/>
      <c r="D23" s="177"/>
      <c r="E23" s="865">
        <f t="shared" si="0"/>
        <v>0</v>
      </c>
      <c r="F23" s="124"/>
      <c r="G23" s="705"/>
      <c r="H23" s="816"/>
      <c r="I23" s="1095"/>
      <c r="J23" s="1211"/>
      <c r="L23" s="333"/>
      <c r="M23" s="1128"/>
      <c r="N23" s="303"/>
      <c r="R23" s="1555"/>
    </row>
    <row r="24" spans="1:18" ht="18" x14ac:dyDescent="0.35">
      <c r="A24" s="359">
        <v>290</v>
      </c>
      <c r="B24" s="360" t="s">
        <v>765</v>
      </c>
      <c r="C24" s="816"/>
      <c r="D24" s="177"/>
      <c r="E24" s="865">
        <f t="shared" si="0"/>
        <v>0</v>
      </c>
      <c r="F24" s="124"/>
      <c r="G24" s="705"/>
      <c r="H24" s="816"/>
      <c r="I24" s="1095"/>
      <c r="J24" s="1211"/>
      <c r="L24" s="333"/>
      <c r="M24" s="1128"/>
      <c r="N24" s="303"/>
      <c r="R24" s="1555"/>
    </row>
    <row r="25" spans="1:18" ht="18.75" thickBot="1" x14ac:dyDescent="0.4">
      <c r="A25" s="359">
        <v>470</v>
      </c>
      <c r="B25" s="360" t="s">
        <v>639</v>
      </c>
      <c r="C25" s="816"/>
      <c r="D25" s="177"/>
      <c r="E25" s="1044">
        <f t="shared" si="0"/>
        <v>0</v>
      </c>
      <c r="F25" s="124"/>
      <c r="G25" s="705"/>
      <c r="H25" s="816"/>
      <c r="I25" s="1095"/>
      <c r="J25" s="1211"/>
      <c r="L25" s="333"/>
      <c r="M25" s="1128"/>
      <c r="N25" s="303"/>
      <c r="R25" s="1555"/>
    </row>
    <row r="26" spans="1:18" ht="18.75" thickBot="1" x14ac:dyDescent="0.4">
      <c r="A26" s="362">
        <v>499</v>
      </c>
      <c r="B26" s="363" t="s">
        <v>722</v>
      </c>
      <c r="C26" s="817"/>
      <c r="D26" s="97"/>
      <c r="E26" s="985">
        <f t="shared" si="0"/>
        <v>0</v>
      </c>
      <c r="F26" s="1150"/>
      <c r="G26" s="1149"/>
      <c r="H26" s="973"/>
      <c r="I26" s="1151"/>
      <c r="J26" s="1216"/>
      <c r="K26" s="372"/>
      <c r="L26" s="334"/>
      <c r="M26" s="1538"/>
      <c r="N26" s="306"/>
      <c r="R26" s="1555"/>
    </row>
    <row r="27" spans="1:18" s="68" customFormat="1" ht="18.75" thickBot="1" x14ac:dyDescent="0.4">
      <c r="A27" s="863"/>
      <c r="B27" s="864" t="s">
        <v>415</v>
      </c>
      <c r="C27" s="725">
        <f t="shared" ref="C27:H27" si="9">SUM(C5:C26)</f>
        <v>88090</v>
      </c>
      <c r="D27" s="725">
        <f t="shared" si="9"/>
        <v>81758.8</v>
      </c>
      <c r="E27" s="725">
        <f t="shared" si="9"/>
        <v>6331.2</v>
      </c>
      <c r="F27" s="1152">
        <f t="shared" si="9"/>
        <v>103678</v>
      </c>
      <c r="G27" s="1152">
        <f t="shared" si="9"/>
        <v>104113.11</v>
      </c>
      <c r="H27" s="1152">
        <f t="shared" si="9"/>
        <v>87984.741999999998</v>
      </c>
      <c r="I27" s="1113">
        <f>G27-H27</f>
        <v>16128.368000000002</v>
      </c>
      <c r="J27" s="1235">
        <f>H27/G27</f>
        <v>0.84508802013502426</v>
      </c>
      <c r="K27" s="1152">
        <f t="shared" ref="K27:R27" si="10">SUM(K5:K26)</f>
        <v>14266</v>
      </c>
      <c r="L27" s="1152">
        <f t="shared" si="10"/>
        <v>35174</v>
      </c>
      <c r="M27" s="1152">
        <f t="shared" si="10"/>
        <v>10000</v>
      </c>
      <c r="N27" s="1152">
        <f t="shared" si="10"/>
        <v>10000</v>
      </c>
      <c r="O27" s="1453">
        <f t="shared" si="10"/>
        <v>64287</v>
      </c>
      <c r="P27" s="1453">
        <f t="shared" si="10"/>
        <v>64412.434000000008</v>
      </c>
      <c r="Q27" s="1453">
        <f t="shared" si="10"/>
        <v>125.43400000000941</v>
      </c>
      <c r="R27" s="1453">
        <f t="shared" si="10"/>
        <v>70585</v>
      </c>
    </row>
    <row r="28" spans="1:18" ht="18.75" hidden="1" thickBot="1" x14ac:dyDescent="0.4">
      <c r="A28" s="625"/>
      <c r="B28" s="621" t="s">
        <v>415</v>
      </c>
      <c r="C28" s="734"/>
      <c r="K28" s="373"/>
    </row>
    <row r="29" spans="1:18" ht="16.5" x14ac:dyDescent="0.3">
      <c r="B29" s="100"/>
    </row>
    <row r="31" spans="1:18" x14ac:dyDescent="0.25">
      <c r="F31" t="s">
        <v>907</v>
      </c>
      <c r="I31">
        <v>10766</v>
      </c>
    </row>
    <row r="32" spans="1:18" x14ac:dyDescent="0.25">
      <c r="F32" t="s">
        <v>906</v>
      </c>
      <c r="I32">
        <v>3500</v>
      </c>
    </row>
    <row r="33" spans="6:9" x14ac:dyDescent="0.25">
      <c r="F33" t="s">
        <v>905</v>
      </c>
      <c r="I33">
        <v>-99326</v>
      </c>
    </row>
    <row r="35" spans="6:9" x14ac:dyDescent="0.25">
      <c r="F35" t="s">
        <v>902</v>
      </c>
    </row>
    <row r="36" spans="6:9" x14ac:dyDescent="0.25">
      <c r="F36" t="s">
        <v>903</v>
      </c>
    </row>
    <row r="38" spans="6:9" x14ac:dyDescent="0.25">
      <c r="F38">
        <v>10000</v>
      </c>
      <c r="G38" t="s">
        <v>904</v>
      </c>
    </row>
    <row r="39" spans="6:9" x14ac:dyDescent="0.25">
      <c r="F39">
        <v>800</v>
      </c>
    </row>
  </sheetData>
  <phoneticPr fontId="20" type="noConversion"/>
  <pageMargins left="0.75" right="0.75" top="1" bottom="1" header="0.5" footer="0.5"/>
  <pageSetup paperSize="5" scale="78" orientation="portrait" r:id="rId1"/>
  <headerFooter alignWithMargins="0">
    <oddHeader xml:space="preserve">&amp;RPAGE 26
</oddHeader>
    <oddFooter>&amp;F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14"/>
  <sheetViews>
    <sheetView workbookViewId="0">
      <selection activeCell="E5" sqref="E5"/>
    </sheetView>
  </sheetViews>
  <sheetFormatPr defaultRowHeight="15" x14ac:dyDescent="0.25"/>
  <cols>
    <col min="1" max="1" width="11.140625" customWidth="1"/>
    <col min="2" max="2" width="33.140625" customWidth="1"/>
    <col min="3" max="3" width="15.5703125" hidden="1" customWidth="1"/>
    <col min="4" max="4" width="22.42578125" hidden="1" customWidth="1"/>
    <col min="5" max="5" width="15.140625" style="85" bestFit="1" customWidth="1"/>
    <col min="6" max="6" width="20.28515625" style="85" hidden="1" customWidth="1"/>
    <col min="7" max="7" width="15.140625" style="85" hidden="1" customWidth="1"/>
  </cols>
  <sheetData>
    <row r="1" spans="1:7" ht="22.5" customHeight="1" x14ac:dyDescent="0.4">
      <c r="A1" s="20" t="s">
        <v>434</v>
      </c>
      <c r="B1" s="20"/>
      <c r="C1" s="3"/>
      <c r="D1" s="3"/>
      <c r="E1" s="123"/>
      <c r="F1" s="958">
        <f ca="1">TODAY()</f>
        <v>44259</v>
      </c>
      <c r="G1" s="123"/>
    </row>
    <row r="2" spans="1:7" ht="22.5" customHeight="1" x14ac:dyDescent="0.4">
      <c r="A2" s="20"/>
      <c r="B2" s="200"/>
      <c r="C2" s="3"/>
      <c r="D2" s="3"/>
      <c r="E2" s="123"/>
      <c r="F2" s="959">
        <f ca="1">NOW()</f>
        <v>44259.508154745374</v>
      </c>
      <c r="G2" s="123"/>
    </row>
    <row r="3" spans="1:7" ht="22.5" customHeight="1" thickBot="1" x14ac:dyDescent="0.45">
      <c r="A3" s="157"/>
      <c r="B3" s="282"/>
      <c r="C3" s="3"/>
      <c r="D3" s="3"/>
      <c r="E3" s="123"/>
      <c r="F3" s="123"/>
      <c r="G3" s="123"/>
    </row>
    <row r="4" spans="1:7" s="93" customFormat="1" ht="69.95" customHeight="1" thickBot="1" x14ac:dyDescent="0.45">
      <c r="A4" s="980" t="s">
        <v>631</v>
      </c>
      <c r="B4" s="980" t="s">
        <v>630</v>
      </c>
      <c r="C4" s="983" t="s">
        <v>809</v>
      </c>
      <c r="D4" s="1528" t="s">
        <v>963</v>
      </c>
      <c r="E4" s="1428" t="s">
        <v>943</v>
      </c>
      <c r="F4" s="983"/>
      <c r="G4" s="984"/>
    </row>
    <row r="5" spans="1:7" ht="18" x14ac:dyDescent="0.35">
      <c r="A5" s="307">
        <v>290</v>
      </c>
      <c r="B5" s="308" t="s">
        <v>435</v>
      </c>
      <c r="C5" s="357">
        <v>0</v>
      </c>
      <c r="D5" s="76">
        <v>1000</v>
      </c>
    </row>
    <row r="6" spans="1:7" ht="18" x14ac:dyDescent="0.35">
      <c r="A6" s="307">
        <v>199</v>
      </c>
      <c r="B6" s="308" t="s">
        <v>732</v>
      </c>
      <c r="C6" s="357">
        <v>0</v>
      </c>
      <c r="D6" s="76"/>
    </row>
    <row r="7" spans="1:7" ht="18" x14ac:dyDescent="0.35">
      <c r="A7" s="307">
        <v>264</v>
      </c>
      <c r="B7" s="308" t="s">
        <v>732</v>
      </c>
      <c r="C7" s="357">
        <v>0</v>
      </c>
      <c r="D7" s="76"/>
    </row>
    <row r="8" spans="1:7" ht="18" x14ac:dyDescent="0.35">
      <c r="A8" s="307">
        <v>290</v>
      </c>
      <c r="B8" s="308" t="s">
        <v>436</v>
      </c>
      <c r="C8" s="357">
        <v>0</v>
      </c>
    </row>
    <row r="9" spans="1:7" ht="18" x14ac:dyDescent="0.35">
      <c r="A9" s="307">
        <v>290</v>
      </c>
      <c r="B9" s="308" t="s">
        <v>437</v>
      </c>
      <c r="C9" s="357">
        <v>0</v>
      </c>
      <c r="D9" s="76"/>
    </row>
    <row r="10" spans="1:7" ht="18" x14ac:dyDescent="0.35">
      <c r="A10" s="307">
        <v>290</v>
      </c>
      <c r="B10" s="308" t="s">
        <v>673</v>
      </c>
      <c r="C10" s="357">
        <v>0</v>
      </c>
    </row>
    <row r="11" spans="1:7" ht="18.75" thickBot="1" x14ac:dyDescent="0.4">
      <c r="A11" s="295">
        <v>290</v>
      </c>
      <c r="B11" s="296" t="s">
        <v>438</v>
      </c>
      <c r="C11" s="365">
        <v>0</v>
      </c>
      <c r="D11" s="146"/>
      <c r="E11" s="483"/>
      <c r="F11" s="483"/>
      <c r="G11" s="483"/>
    </row>
    <row r="12" spans="1:7" s="72" customFormat="1" ht="18" x14ac:dyDescent="0.35">
      <c r="A12" s="69"/>
      <c r="B12" s="311" t="s">
        <v>415</v>
      </c>
      <c r="C12" s="67">
        <f>SUM(C5:C11)</f>
        <v>0</v>
      </c>
      <c r="D12" s="67">
        <f>SUM(D5:D11)</f>
        <v>1000</v>
      </c>
      <c r="E12" s="120">
        <f>SUM(E5:E11)</f>
        <v>0</v>
      </c>
      <c r="F12" s="120">
        <f>SUM(F5:F11)</f>
        <v>0</v>
      </c>
      <c r="G12" s="120">
        <f>SUM(G5:G11)</f>
        <v>0</v>
      </c>
    </row>
    <row r="14" spans="1:7" x14ac:dyDescent="0.25">
      <c r="A14" s="708"/>
    </row>
  </sheetData>
  <phoneticPr fontId="20" type="noConversion"/>
  <pageMargins left="0.75" right="0.75" top="1" bottom="1" header="0.5" footer="0.5"/>
  <pageSetup paperSize="5" fitToHeight="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25"/>
  <sheetViews>
    <sheetView workbookViewId="0">
      <selection activeCell="B4" sqref="B4"/>
    </sheetView>
  </sheetViews>
  <sheetFormatPr defaultRowHeight="15" x14ac:dyDescent="0.25"/>
  <cols>
    <col min="1" max="1" width="13.42578125" customWidth="1"/>
    <col min="2" max="2" width="43.28515625" customWidth="1"/>
    <col min="3" max="3" width="15.140625" style="85" hidden="1" customWidth="1"/>
    <col min="4" max="4" width="15.7109375" style="1024" hidden="1" customWidth="1"/>
    <col min="5" max="5" width="16.28515625" style="1024" hidden="1" customWidth="1"/>
    <col min="6" max="6" width="18.28515625" hidden="1" customWidth="1"/>
    <col min="7" max="7" width="15.5703125" hidden="1" customWidth="1"/>
    <col min="8" max="8" width="14.7109375" hidden="1" customWidth="1"/>
    <col min="9" max="9" width="16.140625" style="144" hidden="1" customWidth="1"/>
    <col min="10" max="10" width="16.140625" style="76" hidden="1" customWidth="1"/>
    <col min="11" max="12" width="16" style="76" hidden="1" customWidth="1"/>
    <col min="13" max="13" width="17.5703125" style="76" hidden="1" customWidth="1"/>
    <col min="14" max="14" width="15.28515625" style="76" hidden="1" customWidth="1"/>
    <col min="15" max="15" width="16.85546875" style="76" hidden="1" customWidth="1"/>
    <col min="16" max="16" width="23.28515625" style="76" hidden="1" customWidth="1"/>
    <col min="17" max="17" width="20.7109375" hidden="1" customWidth="1"/>
    <col min="18" max="18" width="28.140625" hidden="1" customWidth="1"/>
    <col min="19" max="19" width="20.85546875" customWidth="1"/>
    <col min="20" max="20" width="19.5703125" customWidth="1"/>
    <col min="21" max="21" width="13" hidden="1" customWidth="1"/>
    <col min="22" max="22" width="13.85546875" style="204" bestFit="1" customWidth="1"/>
  </cols>
  <sheetData>
    <row r="1" spans="1:24" ht="22.5" customHeight="1" x14ac:dyDescent="0.4">
      <c r="A1" s="198"/>
      <c r="B1" s="198" t="s">
        <v>439</v>
      </c>
      <c r="C1" s="736"/>
      <c r="D1" s="1015"/>
      <c r="E1" s="1015"/>
      <c r="F1" s="958">
        <f ca="1">TODAY()</f>
        <v>44259</v>
      </c>
      <c r="G1" s="736"/>
      <c r="H1" s="736"/>
      <c r="I1" s="736"/>
      <c r="J1" s="1232"/>
      <c r="K1" s="1232"/>
      <c r="L1" s="1233"/>
      <c r="M1" s="1233"/>
      <c r="N1" s="1233"/>
      <c r="O1" s="1233"/>
      <c r="P1" s="1233"/>
      <c r="Q1" s="1233"/>
      <c r="R1" s="1233"/>
      <c r="S1" s="1233"/>
      <c r="T1" s="1233"/>
      <c r="U1" s="1233"/>
      <c r="V1" s="1732"/>
    </row>
    <row r="2" spans="1:24" ht="30" customHeight="1" x14ac:dyDescent="0.4">
      <c r="A2" s="20"/>
      <c r="B2" s="1078" t="s">
        <v>1155</v>
      </c>
      <c r="C2" s="737"/>
      <c r="D2" s="1016"/>
      <c r="E2" s="1016"/>
      <c r="F2" s="959"/>
      <c r="G2" s="737"/>
      <c r="H2" s="737"/>
      <c r="I2" s="737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732"/>
      <c r="W2" s="93"/>
    </row>
    <row r="3" spans="1:24" ht="22.5" customHeight="1" thickBot="1" x14ac:dyDescent="0.45">
      <c r="A3" s="21"/>
      <c r="B3" s="282" t="s">
        <v>1107</v>
      </c>
      <c r="C3" s="737"/>
      <c r="D3" s="1016"/>
      <c r="E3" s="1016"/>
      <c r="F3" s="737"/>
      <c r="G3" s="737"/>
      <c r="H3" s="737"/>
      <c r="I3" s="737"/>
      <c r="J3" s="1233"/>
      <c r="K3" s="1233"/>
      <c r="L3" s="1233"/>
      <c r="M3" s="1233"/>
      <c r="N3" s="1233"/>
      <c r="O3" s="1233"/>
      <c r="P3" s="1233"/>
      <c r="Q3" s="1233"/>
      <c r="R3" s="1233"/>
      <c r="S3" s="1233"/>
      <c r="T3" s="1233"/>
      <c r="U3" s="1233"/>
      <c r="V3" s="1732"/>
      <c r="W3" s="371"/>
      <c r="X3" s="371"/>
    </row>
    <row r="4" spans="1:24" s="93" customFormat="1" ht="64.900000000000006" customHeight="1" thickBot="1" x14ac:dyDescent="0.45">
      <c r="A4" s="980" t="s">
        <v>631</v>
      </c>
      <c r="B4" s="980" t="s">
        <v>630</v>
      </c>
      <c r="C4" s="981" t="s">
        <v>799</v>
      </c>
      <c r="D4" s="1017" t="s">
        <v>811</v>
      </c>
      <c r="E4" s="1018" t="s">
        <v>797</v>
      </c>
      <c r="F4" s="612" t="s">
        <v>855</v>
      </c>
      <c r="G4" s="1070" t="s">
        <v>780</v>
      </c>
      <c r="H4" s="1079" t="s">
        <v>853</v>
      </c>
      <c r="I4" s="1074" t="s">
        <v>854</v>
      </c>
      <c r="J4" s="612" t="s">
        <v>887</v>
      </c>
      <c r="K4" s="622" t="s">
        <v>950</v>
      </c>
      <c r="L4" s="969" t="s">
        <v>951</v>
      </c>
      <c r="M4" s="1428" t="s">
        <v>956</v>
      </c>
      <c r="N4" s="1428" t="s">
        <v>798</v>
      </c>
      <c r="O4" s="1428" t="s">
        <v>942</v>
      </c>
      <c r="P4" s="1428" t="s">
        <v>963</v>
      </c>
      <c r="Q4" s="1506" t="s">
        <v>943</v>
      </c>
      <c r="R4" s="1561" t="s">
        <v>1003</v>
      </c>
      <c r="S4" s="1588" t="s">
        <v>1073</v>
      </c>
      <c r="T4" s="1588" t="s">
        <v>1076</v>
      </c>
      <c r="U4" s="1588" t="s">
        <v>798</v>
      </c>
      <c r="V4" s="1733" t="s">
        <v>1097</v>
      </c>
      <c r="W4" s="371"/>
      <c r="X4" s="1310"/>
    </row>
    <row r="5" spans="1:24" ht="24.95" customHeight="1" thickBot="1" x14ac:dyDescent="0.4">
      <c r="A5" s="366">
        <v>113</v>
      </c>
      <c r="B5" s="367" t="s">
        <v>522</v>
      </c>
      <c r="C5" s="731">
        <v>14560</v>
      </c>
      <c r="D5" s="1019">
        <v>13380.5</v>
      </c>
      <c r="E5" s="1020">
        <f>C5-D5</f>
        <v>1179.5</v>
      </c>
      <c r="F5" s="716">
        <v>16640</v>
      </c>
      <c r="G5" s="731">
        <f>[7]Sheet1!$E$367</f>
        <v>13292.5</v>
      </c>
      <c r="H5" s="1102">
        <f>F5-G5</f>
        <v>3347.5</v>
      </c>
      <c r="I5" s="1094">
        <f>G5/F5</f>
        <v>0.798828125</v>
      </c>
      <c r="J5" s="1191">
        <v>16640</v>
      </c>
      <c r="K5" s="432">
        <v>16640</v>
      </c>
      <c r="L5" s="332">
        <v>16640</v>
      </c>
      <c r="M5" s="326">
        <v>12520</v>
      </c>
      <c r="N5" s="1431">
        <f>L5-M5</f>
        <v>4120</v>
      </c>
      <c r="O5" s="1431">
        <v>16640</v>
      </c>
      <c r="P5" s="1432">
        <v>16640</v>
      </c>
      <c r="Q5" s="1539">
        <f>P5</f>
        <v>16640</v>
      </c>
      <c r="R5" s="1554">
        <v>8320</v>
      </c>
      <c r="S5" s="1554"/>
      <c r="T5" s="1729"/>
      <c r="U5" s="1729"/>
      <c r="V5" s="1734"/>
      <c r="W5" s="371"/>
      <c r="X5" s="371"/>
    </row>
    <row r="6" spans="1:24" ht="24.95" customHeight="1" thickBot="1" x14ac:dyDescent="0.4">
      <c r="A6" s="359">
        <v>121</v>
      </c>
      <c r="B6" s="360" t="s">
        <v>103</v>
      </c>
      <c r="C6" s="430"/>
      <c r="D6" s="1021"/>
      <c r="E6" s="1021"/>
      <c r="F6" s="430"/>
      <c r="G6" s="430"/>
      <c r="H6" s="1095"/>
      <c r="I6" s="1096"/>
      <c r="J6" s="1192"/>
      <c r="K6" s="345" t="s">
        <v>646</v>
      </c>
      <c r="L6" s="333"/>
      <c r="M6" s="185"/>
      <c r="N6" s="1431">
        <f t="shared" ref="N6:N14" si="0">L6-M6</f>
        <v>0</v>
      </c>
      <c r="O6" s="1433"/>
      <c r="P6" s="1434"/>
      <c r="Q6" s="1507"/>
      <c r="R6" s="1507"/>
      <c r="S6" s="1507"/>
      <c r="T6" s="1729"/>
      <c r="U6" s="1729"/>
      <c r="V6" s="1734"/>
      <c r="W6" s="371"/>
      <c r="X6" s="371"/>
    </row>
    <row r="7" spans="1:24" ht="24.95" customHeight="1" thickBot="1" x14ac:dyDescent="0.4">
      <c r="A7" s="359">
        <v>122</v>
      </c>
      <c r="B7" s="360" t="s">
        <v>523</v>
      </c>
      <c r="C7" s="430"/>
      <c r="D7" s="1021"/>
      <c r="E7" s="1021"/>
      <c r="F7" s="430"/>
      <c r="G7" s="430"/>
      <c r="H7" s="1095"/>
      <c r="I7" s="1096"/>
      <c r="J7" s="1192"/>
      <c r="K7" s="345"/>
      <c r="L7" s="333"/>
      <c r="M7" s="185"/>
      <c r="N7" s="1431">
        <f t="shared" si="0"/>
        <v>0</v>
      </c>
      <c r="O7" s="1433"/>
      <c r="P7" s="1434"/>
      <c r="Q7" s="1507"/>
      <c r="R7" s="1507"/>
      <c r="S7" s="1507"/>
      <c r="T7" s="1729"/>
      <c r="U7" s="1729"/>
      <c r="V7" s="1734"/>
      <c r="W7" s="371"/>
      <c r="X7" s="371"/>
    </row>
    <row r="8" spans="1:24" ht="24.95" customHeight="1" thickBot="1" x14ac:dyDescent="0.4">
      <c r="A8" s="359">
        <v>123</v>
      </c>
      <c r="B8" s="360" t="s">
        <v>105</v>
      </c>
      <c r="C8" s="430"/>
      <c r="D8" s="1021"/>
      <c r="E8" s="1021"/>
      <c r="F8" s="430"/>
      <c r="G8" s="430"/>
      <c r="H8" s="1095"/>
      <c r="I8" s="1096"/>
      <c r="J8" s="1192"/>
      <c r="K8" s="345"/>
      <c r="L8" s="333"/>
      <c r="M8" s="185"/>
      <c r="N8" s="1431">
        <f t="shared" si="0"/>
        <v>0</v>
      </c>
      <c r="O8" s="1433"/>
      <c r="P8" s="1434"/>
      <c r="Q8" s="1507"/>
      <c r="R8" s="1507"/>
      <c r="S8" s="1507"/>
      <c r="T8" s="1729"/>
      <c r="U8" s="1729"/>
      <c r="V8" s="1734"/>
      <c r="W8" s="371"/>
      <c r="X8" s="371"/>
    </row>
    <row r="9" spans="1:24" ht="24.95" customHeight="1" thickBot="1" x14ac:dyDescent="0.4">
      <c r="A9" s="359">
        <v>124</v>
      </c>
      <c r="B9" s="360" t="s">
        <v>418</v>
      </c>
      <c r="C9" s="714">
        <v>1114</v>
      </c>
      <c r="D9" s="1021">
        <v>1023.62</v>
      </c>
      <c r="E9" s="714">
        <f>C9-D9</f>
        <v>90.38</v>
      </c>
      <c r="F9" s="714">
        <v>9067</v>
      </c>
      <c r="G9" s="345">
        <f>[7]Sheet1!$K$367</f>
        <v>1015.9979999999999</v>
      </c>
      <c r="H9" s="1097">
        <f>F9-G9</f>
        <v>8051.0020000000004</v>
      </c>
      <c r="I9" s="1096">
        <f>G9/F9</f>
        <v>0.11205448329105547</v>
      </c>
      <c r="J9" s="1192">
        <v>9067</v>
      </c>
      <c r="K9" s="345">
        <v>9067</v>
      </c>
      <c r="L9" s="333">
        <v>1273</v>
      </c>
      <c r="M9" s="185">
        <v>956.07</v>
      </c>
      <c r="N9" s="1431">
        <f t="shared" si="0"/>
        <v>316.92999999999995</v>
      </c>
      <c r="O9" s="1433">
        <v>1273</v>
      </c>
      <c r="P9" s="1434">
        <v>1273</v>
      </c>
      <c r="Q9" s="1540">
        <f>P9</f>
        <v>1273</v>
      </c>
      <c r="R9" s="1507">
        <v>637</v>
      </c>
      <c r="S9" s="1507"/>
      <c r="T9" s="1729"/>
      <c r="U9" s="1729"/>
      <c r="V9" s="1734"/>
      <c r="W9" s="371"/>
      <c r="X9" s="371"/>
    </row>
    <row r="10" spans="1:24" ht="24.95" customHeight="1" thickBot="1" x14ac:dyDescent="0.4">
      <c r="A10" s="359">
        <v>199</v>
      </c>
      <c r="B10" s="360" t="s">
        <v>621</v>
      </c>
      <c r="C10" s="430"/>
      <c r="D10" s="1021"/>
      <c r="E10" s="1021"/>
      <c r="F10" s="717"/>
      <c r="G10" s="430"/>
      <c r="H10" s="1095"/>
      <c r="I10" s="1096"/>
      <c r="J10" s="1192">
        <v>3000</v>
      </c>
      <c r="K10" s="345"/>
      <c r="L10" s="333"/>
      <c r="M10" s="185"/>
      <c r="N10" s="1431">
        <f t="shared" si="0"/>
        <v>0</v>
      </c>
      <c r="O10" s="1433"/>
      <c r="P10" s="1434"/>
      <c r="Q10" s="1507"/>
      <c r="R10" s="1507"/>
      <c r="S10" s="1507"/>
      <c r="T10" s="1729"/>
      <c r="U10" s="1729"/>
      <c r="V10" s="1734"/>
      <c r="W10" s="371"/>
      <c r="X10" s="371"/>
    </row>
    <row r="11" spans="1:24" ht="24.95" customHeight="1" thickBot="1" x14ac:dyDescent="0.4">
      <c r="A11" s="359">
        <v>231</v>
      </c>
      <c r="B11" s="360" t="s">
        <v>379</v>
      </c>
      <c r="C11" s="430"/>
      <c r="D11" s="1021"/>
      <c r="E11" s="1021"/>
      <c r="F11" s="430"/>
      <c r="G11" s="430"/>
      <c r="H11" s="1095"/>
      <c r="I11" s="1096"/>
      <c r="J11" s="1192"/>
      <c r="K11" s="345"/>
      <c r="L11" s="333"/>
      <c r="M11" s="185"/>
      <c r="N11" s="1431">
        <f t="shared" si="0"/>
        <v>0</v>
      </c>
      <c r="O11" s="1433"/>
      <c r="P11" s="1434"/>
      <c r="Q11" s="1507"/>
      <c r="R11" s="1507"/>
      <c r="S11" s="1507"/>
      <c r="T11" s="1729"/>
      <c r="U11" s="1729"/>
      <c r="V11" s="1734"/>
      <c r="W11" s="371"/>
      <c r="X11" s="371"/>
    </row>
    <row r="12" spans="1:24" ht="24.95" customHeight="1" thickBot="1" x14ac:dyDescent="0.4">
      <c r="A12" s="359">
        <v>240</v>
      </c>
      <c r="B12" s="360" t="s">
        <v>316</v>
      </c>
      <c r="C12" s="430"/>
      <c r="D12" s="1021"/>
      <c r="E12" s="1021"/>
      <c r="F12" s="430"/>
      <c r="G12" s="345">
        <f>[7]Sheet1!$BK$367</f>
        <v>62.5</v>
      </c>
      <c r="H12" s="1097">
        <f>F12-G12</f>
        <v>-62.5</v>
      </c>
      <c r="I12" s="1096"/>
      <c r="J12" s="1192"/>
      <c r="K12" s="345"/>
      <c r="L12" s="333"/>
      <c r="M12" s="185"/>
      <c r="N12" s="1431">
        <f t="shared" si="0"/>
        <v>0</v>
      </c>
      <c r="O12" s="1433"/>
      <c r="P12" s="1434"/>
      <c r="Q12" s="1507"/>
      <c r="R12" s="1507"/>
      <c r="S12" s="1507"/>
      <c r="T12" s="1729"/>
      <c r="U12" s="1729"/>
      <c r="V12" s="1734"/>
      <c r="W12" s="371"/>
      <c r="X12" s="371"/>
    </row>
    <row r="13" spans="1:24" ht="24.95" customHeight="1" thickBot="1" x14ac:dyDescent="0.45">
      <c r="A13" s="359">
        <v>290</v>
      </c>
      <c r="B13" s="360" t="s">
        <v>440</v>
      </c>
      <c r="C13" s="430"/>
      <c r="D13" s="1021"/>
      <c r="E13" s="1021"/>
      <c r="F13" s="714">
        <v>2000</v>
      </c>
      <c r="G13" s="345">
        <f>[7]Sheet1!$CC$360</f>
        <v>2000</v>
      </c>
      <c r="H13" s="1097">
        <f>F13-G13</f>
        <v>0</v>
      </c>
      <c r="I13" s="1096">
        <f>G13/F13</f>
        <v>1</v>
      </c>
      <c r="J13" s="1192">
        <v>10000</v>
      </c>
      <c r="K13" s="345">
        <v>2000</v>
      </c>
      <c r="L13" s="333">
        <v>7000</v>
      </c>
      <c r="M13" s="185"/>
      <c r="N13" s="1431">
        <f t="shared" si="0"/>
        <v>7000</v>
      </c>
      <c r="O13" s="1435">
        <v>4000</v>
      </c>
      <c r="P13" s="1436">
        <v>2000</v>
      </c>
      <c r="Q13" s="1541">
        <f t="shared" ref="Q13:S14" si="1">P13</f>
        <v>2000</v>
      </c>
      <c r="R13" s="1541">
        <f t="shared" si="1"/>
        <v>2000</v>
      </c>
      <c r="S13" s="1541">
        <f>R13+8957</f>
        <v>10957</v>
      </c>
      <c r="T13" s="1730">
        <v>10957</v>
      </c>
      <c r="U13" s="1730">
        <f>T13-S13</f>
        <v>0</v>
      </c>
      <c r="V13" s="1735">
        <v>10957</v>
      </c>
      <c r="W13" s="1311"/>
      <c r="X13" s="371"/>
    </row>
    <row r="14" spans="1:24" ht="24.95" customHeight="1" thickBot="1" x14ac:dyDescent="0.4">
      <c r="A14" s="362">
        <v>290</v>
      </c>
      <c r="B14" s="363" t="s">
        <v>441</v>
      </c>
      <c r="C14" s="916"/>
      <c r="D14" s="1022">
        <v>4000</v>
      </c>
      <c r="E14" s="1022">
        <f>C14-D14</f>
        <v>-4000</v>
      </c>
      <c r="F14" s="732">
        <v>2000</v>
      </c>
      <c r="G14" s="421">
        <f>[7]Sheet1!$CC$356+[7]Sheet1!$CC$358+[7]Sheet1!$CC$363</f>
        <v>3000</v>
      </c>
      <c r="H14" s="1114">
        <f>F14-G14</f>
        <v>-1000</v>
      </c>
      <c r="I14" s="1115">
        <f>G14/F14</f>
        <v>1.5</v>
      </c>
      <c r="J14" s="1194">
        <v>6000</v>
      </c>
      <c r="K14" s="372">
        <v>6000</v>
      </c>
      <c r="L14" s="334">
        <v>8794</v>
      </c>
      <c r="M14" s="193">
        <v>6000</v>
      </c>
      <c r="N14" s="1431">
        <f t="shared" si="0"/>
        <v>2794</v>
      </c>
      <c r="O14" s="1437">
        <v>4000</v>
      </c>
      <c r="P14" s="1438">
        <v>6000</v>
      </c>
      <c r="Q14" s="1542">
        <f t="shared" si="1"/>
        <v>6000</v>
      </c>
      <c r="R14" s="1542">
        <f t="shared" si="1"/>
        <v>6000</v>
      </c>
      <c r="S14" s="1542">
        <f t="shared" si="1"/>
        <v>6000</v>
      </c>
      <c r="T14" s="1731">
        <v>2000</v>
      </c>
      <c r="U14" s="1731">
        <f>T14-S14</f>
        <v>-4000</v>
      </c>
      <c r="V14" s="1734">
        <v>6000</v>
      </c>
      <c r="W14" s="371"/>
      <c r="X14" s="371"/>
    </row>
    <row r="15" spans="1:24" s="68" customFormat="1" ht="24.95" customHeight="1" thickBot="1" x14ac:dyDescent="0.45">
      <c r="A15" s="274"/>
      <c r="B15" s="364" t="s">
        <v>415</v>
      </c>
      <c r="C15" s="557">
        <f>SUM(C5:C14)</f>
        <v>15674</v>
      </c>
      <c r="D15" s="557">
        <f>SUM(D5:D14)</f>
        <v>18404.120000000003</v>
      </c>
      <c r="E15" s="1023">
        <f>SUM(E5:E14)</f>
        <v>-2730.12</v>
      </c>
      <c r="F15" s="221">
        <f>SUM(F5:F14)</f>
        <v>29707</v>
      </c>
      <c r="G15" s="221">
        <f>SUM(G5:G14)</f>
        <v>19370.998</v>
      </c>
      <c r="H15" s="1116">
        <f>F15-G15</f>
        <v>10336.002</v>
      </c>
      <c r="I15" s="1117">
        <f>G15/F15</f>
        <v>0.65206846871107815</v>
      </c>
      <c r="J15" s="221">
        <f t="shared" ref="J15:V15" si="2">SUM(J5:J14)</f>
        <v>44707</v>
      </c>
      <c r="K15" s="221">
        <f t="shared" si="2"/>
        <v>33707</v>
      </c>
      <c r="L15" s="557">
        <f t="shared" si="2"/>
        <v>33707</v>
      </c>
      <c r="M15" s="614">
        <f t="shared" si="2"/>
        <v>19476.07</v>
      </c>
      <c r="N15" s="614">
        <f t="shared" si="2"/>
        <v>14230.93</v>
      </c>
      <c r="O15" s="614">
        <f t="shared" si="2"/>
        <v>25913</v>
      </c>
      <c r="P15" s="614">
        <f t="shared" si="2"/>
        <v>25913</v>
      </c>
      <c r="Q15" s="614">
        <f t="shared" si="2"/>
        <v>25913</v>
      </c>
      <c r="R15" s="614">
        <f t="shared" si="2"/>
        <v>16957</v>
      </c>
      <c r="S15" s="614">
        <f t="shared" si="2"/>
        <v>16957</v>
      </c>
      <c r="T15" s="1453">
        <f t="shared" si="2"/>
        <v>12957</v>
      </c>
      <c r="U15" s="1453">
        <f t="shared" si="2"/>
        <v>-4000</v>
      </c>
      <c r="V15" s="1736">
        <f t="shared" si="2"/>
        <v>16957</v>
      </c>
      <c r="W15" s="371"/>
      <c r="X15" s="1311"/>
    </row>
    <row r="16" spans="1:24" ht="20.100000000000001" customHeight="1" x14ac:dyDescent="0.25"/>
    <row r="17" spans="1:8" ht="15.75" hidden="1" x14ac:dyDescent="0.3">
      <c r="A17" s="103" t="s">
        <v>423</v>
      </c>
      <c r="B17" s="95" t="s">
        <v>443</v>
      </c>
    </row>
    <row r="18" spans="1:8" ht="18.75" x14ac:dyDescent="0.3">
      <c r="A18" s="1309" t="s">
        <v>752</v>
      </c>
      <c r="B18" s="93"/>
      <c r="C18" s="93"/>
      <c r="D18" s="93"/>
      <c r="E18" s="93"/>
      <c r="F18" s="93"/>
      <c r="G18" s="93"/>
      <c r="H18">
        <v>10000</v>
      </c>
    </row>
    <row r="19" spans="1:8" ht="18.75" x14ac:dyDescent="0.3">
      <c r="A19" s="371"/>
      <c r="B19" s="371"/>
      <c r="C19" s="371"/>
      <c r="D19" s="371"/>
      <c r="E19" s="371"/>
      <c r="F19" s="371"/>
      <c r="G19" s="371"/>
    </row>
    <row r="20" spans="1:8" ht="18.75" x14ac:dyDescent="0.3">
      <c r="A20" s="371"/>
      <c r="B20" s="371"/>
      <c r="C20" s="371"/>
      <c r="D20" s="371"/>
      <c r="E20" s="371"/>
      <c r="F20" s="371"/>
      <c r="G20" s="371"/>
    </row>
    <row r="21" spans="1:8" ht="18.75" x14ac:dyDescent="0.3">
      <c r="A21" s="371"/>
      <c r="B21" s="371"/>
      <c r="C21" s="371"/>
      <c r="D21" s="371"/>
      <c r="E21" s="371"/>
      <c r="F21" s="371"/>
      <c r="G21" s="371"/>
    </row>
    <row r="22" spans="1:8" ht="18.75" x14ac:dyDescent="0.3">
      <c r="A22" s="371"/>
      <c r="B22" s="371"/>
      <c r="C22" s="371"/>
      <c r="D22" s="371"/>
      <c r="E22" s="371"/>
      <c r="F22" s="371"/>
      <c r="G22" s="371"/>
    </row>
    <row r="23" spans="1:8" ht="18.75" x14ac:dyDescent="0.3">
      <c r="A23" s="371"/>
      <c r="B23" s="371"/>
      <c r="C23" s="371"/>
      <c r="D23" s="371"/>
      <c r="E23" s="371"/>
      <c r="F23" s="371"/>
      <c r="G23" s="371"/>
    </row>
    <row r="24" spans="1:8" ht="18.75" x14ac:dyDescent="0.3">
      <c r="A24" s="371"/>
      <c r="B24" s="371"/>
      <c r="C24" s="371"/>
      <c r="D24" s="371"/>
      <c r="E24" s="371"/>
      <c r="F24" s="371"/>
      <c r="G24" s="371"/>
    </row>
    <row r="25" spans="1:8" x14ac:dyDescent="0.25">
      <c r="A25" s="64"/>
      <c r="B25" s="64"/>
    </row>
  </sheetData>
  <phoneticPr fontId="20" type="noConversion"/>
  <pageMargins left="0.75" right="0.75" top="1" bottom="1" header="0.5" footer="0.5"/>
  <pageSetup paperSize="5" scale="80" fitToHeight="0" orientation="portrait" r:id="rId1"/>
  <headerFooter alignWithMargins="0">
    <oddHeader>&amp;RPAGE 27</oddHeader>
    <oddFooter>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O14"/>
  <sheetViews>
    <sheetView workbookViewId="0">
      <selection activeCell="O5" sqref="O5"/>
    </sheetView>
  </sheetViews>
  <sheetFormatPr defaultRowHeight="15" x14ac:dyDescent="0.25"/>
  <cols>
    <col min="1" max="1" width="12.42578125" customWidth="1"/>
    <col min="2" max="2" width="35.28515625" bestFit="1" customWidth="1"/>
    <col min="3" max="3" width="15.5703125" hidden="1" customWidth="1"/>
    <col min="4" max="4" width="18.5703125" hidden="1" customWidth="1"/>
    <col min="5" max="5" width="14.5703125" style="76" hidden="1" customWidth="1"/>
    <col min="6" max="6" width="14.7109375" style="144" hidden="1" customWidth="1"/>
    <col min="7" max="7" width="17.140625" style="76" hidden="1" customWidth="1"/>
    <col min="8" max="8" width="19.28515625" style="76" hidden="1" customWidth="1"/>
    <col min="9" max="9" width="16.7109375" style="85" customWidth="1"/>
    <col min="10" max="11" width="14.42578125" style="85" hidden="1" customWidth="1"/>
    <col min="12" max="12" width="20.28515625" style="85" hidden="1" customWidth="1"/>
    <col min="13" max="13" width="17.42578125" style="85" hidden="1" customWidth="1"/>
    <col min="14" max="14" width="13.7109375" style="85" customWidth="1"/>
    <col min="15" max="15" width="18.5703125" style="76" customWidth="1"/>
  </cols>
  <sheetData>
    <row r="1" spans="1:15" ht="22.5" customHeight="1" x14ac:dyDescent="0.4">
      <c r="A1" s="280"/>
      <c r="B1" s="280" t="s">
        <v>442</v>
      </c>
      <c r="C1" s="20"/>
      <c r="D1" s="3"/>
      <c r="E1" s="5"/>
      <c r="F1" s="168"/>
      <c r="G1" s="5"/>
      <c r="H1" s="5"/>
      <c r="I1" s="123"/>
      <c r="J1" s="123"/>
      <c r="K1" s="123"/>
      <c r="L1" s="123"/>
      <c r="M1" s="123"/>
      <c r="N1" s="123"/>
    </row>
    <row r="2" spans="1:15" ht="22.5" customHeight="1" x14ac:dyDescent="0.4">
      <c r="A2" s="264"/>
      <c r="B2" s="264"/>
      <c r="C2" s="20"/>
      <c r="D2" s="4"/>
      <c r="E2" s="5"/>
      <c r="F2" s="168"/>
      <c r="G2" s="5"/>
      <c r="H2" s="5"/>
      <c r="I2" s="123"/>
      <c r="J2" s="123"/>
      <c r="K2" s="123"/>
      <c r="L2" s="123"/>
      <c r="M2" s="123"/>
      <c r="N2" s="123"/>
    </row>
    <row r="3" spans="1:15" ht="22.5" customHeight="1" thickBot="1" x14ac:dyDescent="0.45">
      <c r="A3" s="139"/>
      <c r="B3" s="264"/>
      <c r="C3" s="22"/>
      <c r="D3" s="7"/>
      <c r="E3" s="5"/>
      <c r="F3" s="168"/>
      <c r="G3" s="5"/>
      <c r="H3" s="5"/>
      <c r="I3" s="123"/>
      <c r="J3" s="123"/>
      <c r="K3" s="123"/>
      <c r="L3" s="123"/>
      <c r="M3" s="123"/>
      <c r="N3" s="123"/>
    </row>
    <row r="4" spans="1:15" s="93" customFormat="1" ht="75" customHeight="1" thickBot="1" x14ac:dyDescent="0.4">
      <c r="A4" s="355" t="s">
        <v>631</v>
      </c>
      <c r="B4" s="356" t="s">
        <v>630</v>
      </c>
      <c r="C4" s="196" t="s">
        <v>494</v>
      </c>
      <c r="D4" s="196" t="s">
        <v>685</v>
      </c>
      <c r="E4" s="330" t="s">
        <v>699</v>
      </c>
      <c r="F4" s="479" t="s">
        <v>700</v>
      </c>
      <c r="G4" s="484" t="s">
        <v>616</v>
      </c>
      <c r="H4" s="431" t="s">
        <v>691</v>
      </c>
      <c r="I4" s="476" t="s">
        <v>761</v>
      </c>
      <c r="J4" s="735" t="s">
        <v>733</v>
      </c>
      <c r="K4" s="735" t="s">
        <v>734</v>
      </c>
      <c r="L4" s="711" t="s">
        <v>759</v>
      </c>
      <c r="M4" s="706" t="s">
        <v>758</v>
      </c>
      <c r="N4" s="712" t="s">
        <v>780</v>
      </c>
      <c r="O4" s="1654" t="s">
        <v>1066</v>
      </c>
    </row>
    <row r="5" spans="1:15" ht="18" x14ac:dyDescent="0.35">
      <c r="A5" s="307"/>
      <c r="B5" s="308" t="s">
        <v>989</v>
      </c>
      <c r="C5" s="309"/>
      <c r="D5" s="357"/>
      <c r="E5" s="357"/>
      <c r="F5" s="428"/>
      <c r="G5" s="357"/>
      <c r="H5" s="357"/>
      <c r="I5" s="486"/>
      <c r="M5" s="486"/>
    </row>
    <row r="6" spans="1:15" ht="18" x14ac:dyDescent="0.35">
      <c r="A6" s="307"/>
      <c r="B6" s="308"/>
      <c r="C6" s="309"/>
      <c r="D6" s="357"/>
      <c r="E6" s="357"/>
      <c r="F6" s="428"/>
      <c r="G6" s="357"/>
      <c r="H6" s="357"/>
      <c r="I6" s="486"/>
    </row>
    <row r="7" spans="1:15" ht="18" x14ac:dyDescent="0.35">
      <c r="A7" s="307"/>
      <c r="B7" s="308"/>
      <c r="C7" s="309"/>
      <c r="D7" s="357"/>
      <c r="E7" s="357"/>
      <c r="F7" s="428"/>
      <c r="G7" s="357"/>
      <c r="H7" s="357"/>
      <c r="I7" s="486"/>
      <c r="M7" s="486"/>
    </row>
    <row r="8" spans="1:15" ht="18" x14ac:dyDescent="0.35">
      <c r="A8" s="307"/>
      <c r="B8" s="308"/>
      <c r="C8" s="316"/>
      <c r="D8" s="357"/>
      <c r="E8" s="357"/>
      <c r="F8" s="428"/>
      <c r="G8" s="357"/>
      <c r="H8" s="357"/>
      <c r="I8" s="486"/>
      <c r="M8" s="486"/>
    </row>
    <row r="9" spans="1:15" ht="18.75" thickBot="1" x14ac:dyDescent="0.4">
      <c r="A9" s="295"/>
      <c r="B9" s="296"/>
      <c r="C9" s="310"/>
      <c r="D9" s="365"/>
      <c r="E9" s="365"/>
      <c r="F9" s="429"/>
      <c r="G9" s="365"/>
      <c r="H9" s="365"/>
      <c r="I9" s="487"/>
      <c r="J9" s="483"/>
      <c r="K9" s="483"/>
      <c r="L9" s="483"/>
      <c r="M9" s="483"/>
      <c r="N9" s="483"/>
      <c r="O9" s="146"/>
    </row>
    <row r="10" spans="1:15" s="68" customFormat="1" ht="18" x14ac:dyDescent="0.35">
      <c r="A10" s="69"/>
      <c r="B10" s="313" t="s">
        <v>415</v>
      </c>
      <c r="C10" s="120"/>
      <c r="D10" s="120"/>
      <c r="E10" s="120"/>
      <c r="F10" s="399"/>
      <c r="G10" s="120"/>
      <c r="H10" s="120"/>
      <c r="I10" s="120"/>
      <c r="J10" s="120"/>
      <c r="K10" s="644"/>
      <c r="L10" s="120"/>
      <c r="M10" s="120"/>
      <c r="N10" s="120"/>
      <c r="O10" s="1546">
        <f>SUM(O5:O9)</f>
        <v>0</v>
      </c>
    </row>
    <row r="11" spans="1:15" ht="15.75" x14ac:dyDescent="0.25">
      <c r="A11" s="317"/>
      <c r="B11" s="317"/>
      <c r="C11" s="317"/>
      <c r="D11" s="317"/>
    </row>
    <row r="12" spans="1:15" ht="15.75" hidden="1" x14ac:dyDescent="0.3">
      <c r="B12" s="74" t="s">
        <v>477</v>
      </c>
    </row>
    <row r="14" spans="1:15" ht="23.25" x14ac:dyDescent="0.35">
      <c r="B14" s="1423"/>
    </row>
  </sheetData>
  <phoneticPr fontId="20" type="noConversion"/>
  <pageMargins left="0.75" right="0.75" top="1" bottom="1" header="0.5" footer="0.5"/>
  <pageSetup paperSize="5" scale="92" fitToHeight="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0"/>
  <sheetViews>
    <sheetView workbookViewId="0">
      <selection activeCell="J14" sqref="J14"/>
    </sheetView>
  </sheetViews>
  <sheetFormatPr defaultRowHeight="15" x14ac:dyDescent="0.25"/>
  <cols>
    <col min="1" max="1" width="16" customWidth="1"/>
    <col min="2" max="2" width="38.7109375" customWidth="1"/>
    <col min="3" max="3" width="15.7109375" hidden="1" customWidth="1"/>
    <col min="4" max="4" width="33.7109375" hidden="1" customWidth="1"/>
    <col min="5" max="5" width="16.140625" style="76" hidden="1" customWidth="1"/>
    <col min="6" max="6" width="17.28515625" style="144" hidden="1" customWidth="1"/>
    <col min="7" max="7" width="16.85546875" hidden="1" customWidth="1"/>
    <col min="8" max="8" width="1.7109375" hidden="1" customWidth="1"/>
    <col min="9" max="9" width="13.5703125" customWidth="1"/>
    <col min="10" max="10" width="11.5703125" bestFit="1" customWidth="1"/>
    <col min="11" max="11" width="12.7109375" style="144" customWidth="1"/>
    <col min="12" max="12" width="15" bestFit="1" customWidth="1"/>
  </cols>
  <sheetData>
    <row r="1" spans="1:12" ht="22.5" customHeight="1" x14ac:dyDescent="0.4">
      <c r="A1" s="197" t="s">
        <v>496</v>
      </c>
      <c r="B1" s="20"/>
      <c r="C1" s="20"/>
      <c r="D1" s="3"/>
      <c r="E1" s="5"/>
      <c r="F1" s="168"/>
      <c r="G1" s="3"/>
      <c r="H1" s="3"/>
      <c r="I1" s="3"/>
      <c r="J1" s="3"/>
      <c r="K1" s="168"/>
      <c r="L1" s="3"/>
    </row>
    <row r="2" spans="1:12" ht="22.5" customHeight="1" x14ac:dyDescent="0.4">
      <c r="A2" s="20"/>
      <c r="B2" s="20" t="s">
        <v>703</v>
      </c>
      <c r="C2" s="20"/>
      <c r="D2" s="4"/>
      <c r="E2" s="346"/>
      <c r="F2" s="424"/>
      <c r="G2" s="4"/>
      <c r="H2" s="4"/>
      <c r="I2" s="4"/>
      <c r="J2" s="4"/>
      <c r="K2" s="424"/>
      <c r="L2" s="4"/>
    </row>
    <row r="3" spans="1:12" ht="22.5" customHeight="1" x14ac:dyDescent="0.4">
      <c r="A3" s="21"/>
      <c r="B3" s="281" t="s">
        <v>767</v>
      </c>
      <c r="C3" s="22"/>
      <c r="D3" s="6" t="s">
        <v>724</v>
      </c>
      <c r="E3" s="347"/>
      <c r="F3" s="425"/>
      <c r="G3" s="7"/>
      <c r="H3" s="7"/>
      <c r="I3" s="7"/>
      <c r="J3" s="7"/>
      <c r="K3" s="425"/>
      <c r="L3" s="7"/>
    </row>
    <row r="4" spans="1:12" ht="15.75" thickBot="1" x14ac:dyDescent="0.3"/>
    <row r="5" spans="1:12" ht="54.95" customHeight="1" thickBot="1" x14ac:dyDescent="0.4">
      <c r="A5" s="378"/>
      <c r="B5" s="378"/>
      <c r="C5" s="196"/>
      <c r="D5" s="196"/>
      <c r="E5" s="330"/>
      <c r="F5" s="479"/>
      <c r="G5" s="484"/>
      <c r="H5" s="431"/>
      <c r="I5" s="431"/>
      <c r="J5" s="622"/>
      <c r="K5" s="626"/>
      <c r="L5" s="623"/>
    </row>
    <row r="6" spans="1:12" ht="18" x14ac:dyDescent="0.35">
      <c r="A6" s="318"/>
      <c r="B6" s="319"/>
      <c r="C6" s="317"/>
      <c r="D6" s="314"/>
      <c r="G6" s="314"/>
      <c r="H6" s="314"/>
      <c r="I6" s="314"/>
      <c r="J6" s="314"/>
    </row>
    <row r="7" spans="1:12" ht="18.75" thickBot="1" x14ac:dyDescent="0.4">
      <c r="A7" s="295"/>
      <c r="B7" s="296"/>
      <c r="C7" s="320"/>
      <c r="D7" s="315"/>
      <c r="E7" s="146"/>
      <c r="F7" s="147"/>
      <c r="G7" s="315"/>
      <c r="H7" s="315"/>
      <c r="I7" s="315"/>
      <c r="J7" s="643"/>
      <c r="K7" s="147"/>
      <c r="L7" s="472"/>
    </row>
    <row r="8" spans="1:12" ht="18" x14ac:dyDescent="0.35">
      <c r="A8" s="317"/>
      <c r="B8" s="69"/>
      <c r="C8" s="69"/>
      <c r="D8" s="120"/>
      <c r="E8" s="67"/>
      <c r="F8" s="399"/>
      <c r="G8" s="120"/>
      <c r="H8" s="120"/>
      <c r="I8" s="120"/>
      <c r="J8" s="644"/>
      <c r="K8" s="399"/>
    </row>
    <row r="9" spans="1:12" ht="18" x14ac:dyDescent="0.35">
      <c r="A9" s="317"/>
      <c r="B9" s="69"/>
      <c r="C9" s="69"/>
      <c r="D9" s="120"/>
      <c r="E9" s="67"/>
      <c r="F9" s="399"/>
      <c r="G9" s="120"/>
      <c r="H9" s="120"/>
      <c r="I9" s="120"/>
      <c r="J9" s="644"/>
      <c r="K9" s="399"/>
    </row>
    <row r="10" spans="1:12" ht="15.75" x14ac:dyDescent="0.25">
      <c r="A10" s="170"/>
      <c r="B10" s="170"/>
      <c r="C10" s="170"/>
      <c r="D10" s="170"/>
      <c r="E10" s="624"/>
      <c r="F10" s="554"/>
      <c r="G10" s="170"/>
      <c r="H10" s="170"/>
      <c r="I10" s="665"/>
      <c r="J10" s="665"/>
      <c r="K10" s="554"/>
    </row>
  </sheetData>
  <phoneticPr fontId="20" type="noConversion"/>
  <pageMargins left="0.75" right="0.75" top="1" bottom="1" header="0.5" footer="0.5"/>
  <pageSetup scale="76" fitToHeight="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O19"/>
  <sheetViews>
    <sheetView workbookViewId="0">
      <selection activeCell="P11" sqref="P11"/>
    </sheetView>
  </sheetViews>
  <sheetFormatPr defaultRowHeight="15" x14ac:dyDescent="0.25"/>
  <cols>
    <col min="1" max="1" width="22.28515625" customWidth="1"/>
    <col min="2" max="2" width="35.7109375" customWidth="1"/>
    <col min="3" max="3" width="21.140625" hidden="1" customWidth="1"/>
    <col min="4" max="4" width="24.7109375" style="144" hidden="1" customWidth="1"/>
    <col min="5" max="5" width="15.42578125" hidden="1" customWidth="1"/>
    <col min="6" max="6" width="21.42578125" hidden="1" customWidth="1"/>
    <col min="7" max="7" width="14.7109375" style="85" hidden="1" customWidth="1"/>
    <col min="8" max="8" width="18.42578125" hidden="1" customWidth="1"/>
    <col min="9" max="9" width="17.28515625" style="1024" hidden="1" customWidth="1"/>
    <col min="10" max="10" width="24.140625" hidden="1" customWidth="1"/>
    <col min="11" max="11" width="15.140625" hidden="1" customWidth="1"/>
    <col min="12" max="12" width="12.7109375" style="85" bestFit="1" customWidth="1"/>
    <col min="13" max="13" width="20.85546875" customWidth="1"/>
    <col min="14" max="14" width="12.5703125" hidden="1" customWidth="1"/>
    <col min="15" max="15" width="16.42578125" style="204" customWidth="1"/>
  </cols>
  <sheetData>
    <row r="1" spans="1:15" ht="22.5" customHeight="1" x14ac:dyDescent="0.4">
      <c r="A1" s="19" t="s">
        <v>444</v>
      </c>
      <c r="B1" s="19"/>
      <c r="C1" s="2"/>
      <c r="D1" s="174"/>
      <c r="E1" s="2"/>
      <c r="F1" s="1307"/>
      <c r="G1" s="19"/>
      <c r="H1" s="19"/>
      <c r="I1" s="1508"/>
      <c r="J1" s="19"/>
      <c r="K1" s="19"/>
      <c r="L1" s="20"/>
      <c r="M1" s="20"/>
      <c r="N1" s="20"/>
      <c r="O1" s="1697"/>
    </row>
    <row r="2" spans="1:15" ht="22.5" customHeight="1" x14ac:dyDescent="0.4">
      <c r="A2" s="20"/>
      <c r="B2" s="200" t="s">
        <v>1155</v>
      </c>
      <c r="C2" s="346"/>
      <c r="D2" s="424"/>
      <c r="E2" s="346"/>
      <c r="F2" s="959"/>
      <c r="G2" s="20"/>
      <c r="H2" s="20"/>
      <c r="I2" s="1509"/>
      <c r="J2" s="20"/>
      <c r="K2" s="20"/>
      <c r="L2" s="20"/>
      <c r="M2" s="20"/>
      <c r="N2" s="20"/>
      <c r="O2" s="1697"/>
    </row>
    <row r="3" spans="1:15" ht="22.5" customHeight="1" x14ac:dyDescent="0.4">
      <c r="A3" s="21"/>
      <c r="B3" s="1308" t="s">
        <v>1107</v>
      </c>
      <c r="C3" s="347"/>
      <c r="D3" s="425"/>
      <c r="E3" s="347"/>
      <c r="F3" s="22"/>
      <c r="G3" s="22"/>
      <c r="H3" s="22"/>
      <c r="I3" s="1510"/>
      <c r="J3" s="22"/>
      <c r="K3" s="22"/>
      <c r="L3" s="22"/>
      <c r="M3" s="20"/>
      <c r="N3" s="20"/>
      <c r="O3" s="1697"/>
    </row>
    <row r="4" spans="1:15" s="93" customFormat="1" ht="22.5" customHeight="1" thickBot="1" x14ac:dyDescent="0.45">
      <c r="A4" s="91"/>
      <c r="B4" s="92"/>
      <c r="D4" s="145"/>
      <c r="G4" s="475"/>
      <c r="I4" s="1511"/>
      <c r="L4" s="475"/>
      <c r="O4" s="1737"/>
    </row>
    <row r="5" spans="1:15" s="93" customFormat="1" ht="65.099999999999994" customHeight="1" thickBot="1" x14ac:dyDescent="0.45">
      <c r="A5" s="980" t="s">
        <v>631</v>
      </c>
      <c r="B5" s="980" t="s">
        <v>630</v>
      </c>
      <c r="C5" s="981" t="s">
        <v>799</v>
      </c>
      <c r="D5" s="982" t="s">
        <v>808</v>
      </c>
      <c r="E5" s="666" t="s">
        <v>797</v>
      </c>
      <c r="F5" s="551" t="s">
        <v>944</v>
      </c>
      <c r="G5" s="1312" t="s">
        <v>941</v>
      </c>
      <c r="H5" s="1312" t="s">
        <v>798</v>
      </c>
      <c r="I5" s="1441" t="s">
        <v>971</v>
      </c>
      <c r="J5" s="1312" t="s">
        <v>963</v>
      </c>
      <c r="K5" s="1312" t="s">
        <v>943</v>
      </c>
      <c r="L5" s="1154" t="s">
        <v>1079</v>
      </c>
      <c r="M5" s="1505" t="s">
        <v>1076</v>
      </c>
      <c r="N5" s="1505" t="s">
        <v>798</v>
      </c>
      <c r="O5" s="1710" t="s">
        <v>1097</v>
      </c>
    </row>
    <row r="6" spans="1:15" ht="18" x14ac:dyDescent="0.35">
      <c r="A6" s="307">
        <v>701</v>
      </c>
      <c r="B6" s="308" t="s">
        <v>909</v>
      </c>
      <c r="C6" s="85"/>
      <c r="D6" s="85"/>
      <c r="E6" s="85"/>
      <c r="F6" s="85">
        <v>3200</v>
      </c>
      <c r="G6" s="85">
        <v>3000</v>
      </c>
      <c r="H6" s="85">
        <f>F6-G6</f>
        <v>200</v>
      </c>
      <c r="I6" s="1024">
        <v>3200</v>
      </c>
      <c r="J6" s="85">
        <v>3200</v>
      </c>
      <c r="K6" s="85">
        <f>J6</f>
        <v>3200</v>
      </c>
      <c r="L6" s="85">
        <f>K6</f>
        <v>3200</v>
      </c>
      <c r="M6" s="76">
        <f>'[14]Summ by Dept'!$DD$412</f>
        <v>3000</v>
      </c>
      <c r="N6" s="85">
        <f>M6-L6</f>
        <v>-200</v>
      </c>
      <c r="O6" s="1711">
        <v>3000</v>
      </c>
    </row>
    <row r="7" spans="1:15" ht="18" x14ac:dyDescent="0.35">
      <c r="A7" s="307">
        <v>703</v>
      </c>
      <c r="B7" s="308" t="s">
        <v>908</v>
      </c>
      <c r="C7" s="85"/>
      <c r="D7" s="85"/>
      <c r="E7" s="85"/>
      <c r="F7" s="85">
        <v>2250</v>
      </c>
      <c r="G7" s="85">
        <v>1795.5</v>
      </c>
      <c r="H7" s="85">
        <f>G7</f>
        <v>1795.5</v>
      </c>
      <c r="I7" s="1024">
        <v>1800</v>
      </c>
      <c r="J7" s="85">
        <v>1800</v>
      </c>
      <c r="K7" s="85">
        <f>J7</f>
        <v>1800</v>
      </c>
      <c r="L7" s="85">
        <f>K7</f>
        <v>1800</v>
      </c>
      <c r="M7" s="85">
        <v>1795</v>
      </c>
      <c r="N7" s="85">
        <f>M7-L7</f>
        <v>-5</v>
      </c>
      <c r="O7" s="1711">
        <v>1795</v>
      </c>
    </row>
    <row r="8" spans="1:15" ht="18" x14ac:dyDescent="0.35">
      <c r="A8" s="307">
        <v>704</v>
      </c>
      <c r="B8" s="308" t="s">
        <v>1020</v>
      </c>
      <c r="C8" s="85"/>
      <c r="D8" s="85"/>
      <c r="E8" s="85"/>
      <c r="K8" s="1199">
        <v>2500</v>
      </c>
      <c r="L8" s="85">
        <v>2500</v>
      </c>
      <c r="O8" s="1711">
        <v>1500</v>
      </c>
    </row>
    <row r="9" spans="1:15" ht="18" x14ac:dyDescent="0.35">
      <c r="A9" s="307">
        <v>705</v>
      </c>
      <c r="B9" s="308" t="s">
        <v>1064</v>
      </c>
      <c r="C9" s="85"/>
      <c r="D9" s="85"/>
      <c r="E9" s="85"/>
      <c r="H9" s="85">
        <f>G9</f>
        <v>0</v>
      </c>
      <c r="L9" s="85">
        <v>5000</v>
      </c>
      <c r="O9" s="1711">
        <v>5000</v>
      </c>
    </row>
    <row r="10" spans="1:15" ht="18" x14ac:dyDescent="0.35">
      <c r="A10" s="307">
        <v>706</v>
      </c>
      <c r="B10" s="308" t="s">
        <v>1065</v>
      </c>
      <c r="C10" s="85"/>
      <c r="D10" s="85"/>
      <c r="E10" s="85"/>
      <c r="F10" s="550"/>
      <c r="L10" s="85">
        <v>12025</v>
      </c>
      <c r="M10" s="76">
        <v>12025</v>
      </c>
      <c r="N10" s="85">
        <f>M10-L10</f>
        <v>0</v>
      </c>
      <c r="O10" s="1711">
        <v>6013</v>
      </c>
    </row>
    <row r="11" spans="1:15" ht="18" x14ac:dyDescent="0.35">
      <c r="A11" s="307"/>
      <c r="B11" s="308"/>
      <c r="C11" s="85"/>
      <c r="D11" s="85"/>
      <c r="E11" s="85"/>
      <c r="O11" s="1711"/>
    </row>
    <row r="12" spans="1:15" ht="18" x14ac:dyDescent="0.35">
      <c r="A12" s="321"/>
      <c r="B12" s="322"/>
      <c r="C12" s="85"/>
      <c r="D12" s="85"/>
      <c r="E12" s="85"/>
      <c r="F12" s="486"/>
      <c r="O12" s="1711"/>
    </row>
    <row r="13" spans="1:15" ht="18" x14ac:dyDescent="0.35">
      <c r="A13" s="321"/>
      <c r="B13" s="322"/>
      <c r="C13" s="85"/>
      <c r="D13" s="85"/>
      <c r="E13" s="85"/>
      <c r="O13" s="1711"/>
    </row>
    <row r="14" spans="1:15" ht="18" x14ac:dyDescent="0.35">
      <c r="A14" s="321"/>
      <c r="B14" s="322"/>
      <c r="C14" s="85"/>
      <c r="D14" s="85"/>
      <c r="E14" s="85"/>
      <c r="H14" s="726"/>
      <c r="O14" s="1711"/>
    </row>
    <row r="15" spans="1:15" ht="18" x14ac:dyDescent="0.35">
      <c r="A15" s="321"/>
      <c r="B15" s="322"/>
      <c r="C15" s="85"/>
      <c r="D15" s="85"/>
      <c r="E15" s="85"/>
      <c r="O15" s="1711"/>
    </row>
    <row r="16" spans="1:15" ht="18.75" thickBot="1" x14ac:dyDescent="0.4">
      <c r="A16" s="320"/>
      <c r="B16" s="296"/>
      <c r="C16" s="483"/>
      <c r="D16" s="483"/>
      <c r="E16" s="483"/>
      <c r="F16" s="472"/>
      <c r="G16" s="483"/>
      <c r="H16" s="472"/>
      <c r="I16" s="1068"/>
      <c r="J16" s="472"/>
      <c r="K16" s="472"/>
      <c r="L16" s="483"/>
      <c r="M16" s="472"/>
      <c r="N16" s="472"/>
      <c r="O16" s="1719"/>
    </row>
    <row r="17" spans="1:15" s="68" customFormat="1" ht="18" x14ac:dyDescent="0.35">
      <c r="A17" s="69"/>
      <c r="B17" s="311" t="s">
        <v>917</v>
      </c>
      <c r="C17" s="120"/>
      <c r="D17" s="120"/>
      <c r="E17" s="120"/>
      <c r="F17" s="120">
        <f>SUM(F6:F16)</f>
        <v>5450</v>
      </c>
      <c r="G17" s="120">
        <f>SUM(G6:G16)</f>
        <v>4795.5</v>
      </c>
      <c r="H17" s="120">
        <f t="shared" ref="H17:O17" si="0">SUM(H6:H16)</f>
        <v>1995.5</v>
      </c>
      <c r="I17" s="1512">
        <f t="shared" si="0"/>
        <v>5000</v>
      </c>
      <c r="J17" s="1512">
        <f t="shared" si="0"/>
        <v>5000</v>
      </c>
      <c r="K17" s="1512">
        <f t="shared" si="0"/>
        <v>7500</v>
      </c>
      <c r="L17" s="120">
        <f t="shared" si="0"/>
        <v>24525</v>
      </c>
      <c r="M17" s="120">
        <f t="shared" si="0"/>
        <v>16820</v>
      </c>
      <c r="N17" s="120">
        <f t="shared" si="0"/>
        <v>-205</v>
      </c>
      <c r="O17" s="1720">
        <f t="shared" si="0"/>
        <v>17308</v>
      </c>
    </row>
    <row r="18" spans="1:15" x14ac:dyDescent="0.25">
      <c r="C18" s="85"/>
      <c r="D18" s="85"/>
      <c r="E18" s="85"/>
    </row>
    <row r="19" spans="1:15" ht="15.75" hidden="1" x14ac:dyDescent="0.3">
      <c r="B19" s="95"/>
    </row>
  </sheetData>
  <phoneticPr fontId="20" type="noConversion"/>
  <pageMargins left="0.75" right="0.75" top="1" bottom="1" header="0.5" footer="0.5"/>
  <pageSetup paperSize="5" scale="82" fitToHeight="0" orientation="portrait" r:id="rId1"/>
  <headerFooter alignWithMargins="0">
    <oddHeader>&amp;RPAGE 28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40B87-701A-4A9F-9AF4-721962AEA482}">
  <sheetPr>
    <pageSetUpPr fitToPage="1"/>
  </sheetPr>
  <dimension ref="B3:O48"/>
  <sheetViews>
    <sheetView workbookViewId="0">
      <selection activeCell="C8" sqref="C8"/>
    </sheetView>
  </sheetViews>
  <sheetFormatPr defaultRowHeight="15" x14ac:dyDescent="0.25"/>
  <cols>
    <col min="2" max="2" width="48.7109375" bestFit="1" customWidth="1"/>
  </cols>
  <sheetData>
    <row r="3" spans="2:1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5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</row>
    <row r="7" spans="2:15" x14ac:dyDescent="0.2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2:15" x14ac:dyDescent="0.25">
      <c r="B8" s="167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15" x14ac:dyDescent="0.25">
      <c r="B9" s="167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2:15" x14ac:dyDescent="0.25">
      <c r="B10" s="1676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2:15" x14ac:dyDescent="0.25">
      <c r="B11" s="1676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</row>
    <row r="12" spans="2:15" x14ac:dyDescent="0.25">
      <c r="B12" s="167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2:15" x14ac:dyDescent="0.25">
      <c r="B13" s="1676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</row>
    <row r="14" spans="2:15" x14ac:dyDescent="0.25">
      <c r="B14" s="1676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2:15" x14ac:dyDescent="0.25">
      <c r="B15" s="1676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</row>
    <row r="16" spans="2:15" x14ac:dyDescent="0.25">
      <c r="B16" s="1676"/>
      <c r="C16" s="62"/>
      <c r="D16" s="1677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2:15" x14ac:dyDescent="0.25">
      <c r="B17" s="1676"/>
      <c r="C17" s="62"/>
      <c r="D17" s="1677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</row>
    <row r="18" spans="2:15" x14ac:dyDescent="0.25">
      <c r="B18" s="1676"/>
      <c r="C18" s="62"/>
      <c r="D18" s="1677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2:15" x14ac:dyDescent="0.25">
      <c r="B19" s="1024"/>
      <c r="D19" s="1247"/>
    </row>
    <row r="20" spans="2:15" x14ac:dyDescent="0.25">
      <c r="B20" s="1024"/>
      <c r="D20" s="1247"/>
    </row>
    <row r="21" spans="2:15" x14ac:dyDescent="0.25">
      <c r="B21" s="1024"/>
      <c r="D21" s="1247"/>
    </row>
    <row r="22" spans="2:15" x14ac:dyDescent="0.25">
      <c r="B22" s="1024"/>
      <c r="D22" s="1247"/>
    </row>
    <row r="23" spans="2:15" x14ac:dyDescent="0.25">
      <c r="B23" s="1024"/>
      <c r="D23" s="1247"/>
    </row>
    <row r="24" spans="2:15" x14ac:dyDescent="0.25">
      <c r="B24" s="1024"/>
      <c r="D24" s="1247"/>
    </row>
    <row r="25" spans="2:15" x14ac:dyDescent="0.25">
      <c r="B25" s="1024"/>
      <c r="D25" s="1247"/>
    </row>
    <row r="26" spans="2:15" x14ac:dyDescent="0.25">
      <c r="B26" s="1024"/>
      <c r="D26" s="1247"/>
    </row>
    <row r="27" spans="2:15" x14ac:dyDescent="0.25">
      <c r="B27" s="1024"/>
      <c r="D27" s="1247"/>
    </row>
    <row r="28" spans="2:15" x14ac:dyDescent="0.25">
      <c r="B28" s="1024"/>
      <c r="D28" s="1247"/>
    </row>
    <row r="29" spans="2:15" x14ac:dyDescent="0.25">
      <c r="B29" s="1024"/>
      <c r="D29" s="1247"/>
    </row>
    <row r="30" spans="2:15" x14ac:dyDescent="0.25">
      <c r="B30" s="1024"/>
      <c r="D30" s="1247"/>
    </row>
    <row r="31" spans="2:15" x14ac:dyDescent="0.25">
      <c r="B31" s="1024"/>
      <c r="D31" s="1247"/>
    </row>
    <row r="32" spans="2:15" x14ac:dyDescent="0.25">
      <c r="B32" s="1024"/>
      <c r="D32" s="1247"/>
    </row>
    <row r="33" spans="2:4" x14ac:dyDescent="0.25">
      <c r="B33" s="1024"/>
      <c r="D33" s="1247"/>
    </row>
    <row r="34" spans="2:4" x14ac:dyDescent="0.25">
      <c r="B34" s="1024"/>
      <c r="D34" s="1247"/>
    </row>
    <row r="35" spans="2:4" x14ac:dyDescent="0.25">
      <c r="B35" s="1024"/>
      <c r="D35" s="1247"/>
    </row>
    <row r="36" spans="2:4" x14ac:dyDescent="0.25">
      <c r="B36" s="1024"/>
      <c r="D36" s="1247"/>
    </row>
    <row r="37" spans="2:4" x14ac:dyDescent="0.25">
      <c r="B37" s="1024"/>
      <c r="D37" s="1247"/>
    </row>
    <row r="38" spans="2:4" x14ac:dyDescent="0.25">
      <c r="B38" s="1024"/>
      <c r="D38" s="1247"/>
    </row>
    <row r="39" spans="2:4" x14ac:dyDescent="0.25">
      <c r="B39" s="1024"/>
      <c r="D39" s="1247"/>
    </row>
    <row r="40" spans="2:4" x14ac:dyDescent="0.25">
      <c r="B40" s="1024"/>
      <c r="D40" s="1247"/>
    </row>
    <row r="41" spans="2:4" x14ac:dyDescent="0.25">
      <c r="B41" s="1024"/>
      <c r="D41" s="1247"/>
    </row>
    <row r="42" spans="2:4" x14ac:dyDescent="0.25">
      <c r="B42" s="1024"/>
      <c r="D42" s="1247"/>
    </row>
    <row r="43" spans="2:4" x14ac:dyDescent="0.25">
      <c r="B43" s="1024"/>
      <c r="D43" s="1247"/>
    </row>
    <row r="44" spans="2:4" x14ac:dyDescent="0.25">
      <c r="B44" s="1024"/>
      <c r="D44" s="1247"/>
    </row>
    <row r="45" spans="2:4" x14ac:dyDescent="0.25">
      <c r="B45" s="1024"/>
      <c r="D45" s="1247"/>
    </row>
    <row r="46" spans="2:4" x14ac:dyDescent="0.25">
      <c r="B46" s="1024"/>
      <c r="D46" s="1247"/>
    </row>
    <row r="47" spans="2:4" x14ac:dyDescent="0.25">
      <c r="B47" s="1024"/>
      <c r="D47" s="1247"/>
    </row>
    <row r="48" spans="2:4" x14ac:dyDescent="0.25">
      <c r="B48" s="1024"/>
      <c r="D48" s="1247"/>
    </row>
  </sheetData>
  <pageMargins left="0.7" right="0.7" top="0.75" bottom="0.75" header="0.3" footer="0.3"/>
  <pageSetup paperSize="5" fitToHeight="0" orientation="landscape" r:id="rId1"/>
  <headerFooter>
    <oddHeader>&amp;RPAGE 1</oddHeader>
    <oddFooter>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T39"/>
  <sheetViews>
    <sheetView topLeftCell="A13" workbookViewId="0">
      <selection activeCell="S21" sqref="S21"/>
    </sheetView>
  </sheetViews>
  <sheetFormatPr defaultRowHeight="15" x14ac:dyDescent="0.25"/>
  <cols>
    <col min="1" max="1" width="5.85546875" customWidth="1"/>
    <col min="2" max="2" width="17" customWidth="1"/>
    <col min="3" max="3" width="53.85546875" customWidth="1"/>
    <col min="4" max="4" width="19.7109375" style="76" hidden="1" customWidth="1"/>
    <col min="5" max="5" width="18.28515625" style="76" hidden="1" customWidth="1"/>
    <col min="6" max="6" width="15.140625" style="158" hidden="1" customWidth="1"/>
    <col min="7" max="7" width="19" hidden="1" customWidth="1"/>
    <col min="8" max="9" width="19.7109375" style="85" hidden="1" customWidth="1"/>
    <col min="10" max="10" width="18.42578125" hidden="1" customWidth="1"/>
    <col min="11" max="11" width="12.140625" style="144" hidden="1" customWidth="1"/>
    <col min="12" max="12" width="19.7109375" style="76" hidden="1" customWidth="1"/>
    <col min="13" max="13" width="17.28515625" style="76" hidden="1" customWidth="1"/>
    <col min="14" max="14" width="16" style="76" hidden="1" customWidth="1"/>
    <col min="15" max="15" width="17.28515625" style="76" hidden="1" customWidth="1"/>
    <col min="16" max="16" width="22.28515625" style="76" hidden="1" customWidth="1"/>
    <col min="17" max="17" width="17.28515625" style="76" hidden="1" customWidth="1"/>
    <col min="18" max="18" width="21.28515625" customWidth="1"/>
    <col min="19" max="19" width="18.5703125" customWidth="1"/>
    <col min="20" max="20" width="17.7109375" style="76" customWidth="1"/>
  </cols>
  <sheetData>
    <row r="1" spans="2:20" ht="22.5" x14ac:dyDescent="0.4">
      <c r="B1" s="33"/>
      <c r="C1" s="199" t="s">
        <v>178</v>
      </c>
      <c r="D1" s="5"/>
      <c r="E1" s="5"/>
      <c r="F1" s="5"/>
      <c r="G1" s="958">
        <f ca="1">TODAY()</f>
        <v>44259</v>
      </c>
      <c r="H1" s="123"/>
      <c r="I1" s="123"/>
      <c r="J1" s="123"/>
      <c r="K1" s="123"/>
      <c r="L1" s="5"/>
      <c r="M1" s="5"/>
      <c r="N1" s="5"/>
      <c r="O1" s="5"/>
      <c r="P1" s="5"/>
      <c r="Q1" s="5"/>
      <c r="R1" s="5"/>
    </row>
    <row r="2" spans="2:20" ht="22.5" x14ac:dyDescent="0.4">
      <c r="B2" s="28"/>
      <c r="C2" s="1078" t="s">
        <v>1155</v>
      </c>
      <c r="D2" s="5"/>
      <c r="E2" s="5"/>
      <c r="F2" s="5"/>
      <c r="G2" s="959">
        <f ca="1">NOW()</f>
        <v>44259.508154745374</v>
      </c>
      <c r="H2" s="123"/>
      <c r="I2" s="123"/>
      <c r="J2" s="123"/>
      <c r="K2" s="123"/>
      <c r="L2" s="5"/>
      <c r="M2" s="5"/>
      <c r="N2" s="5"/>
      <c r="O2" s="5"/>
      <c r="P2" s="5"/>
      <c r="Q2" s="5"/>
      <c r="R2" s="5"/>
    </row>
    <row r="3" spans="2:20" ht="23.25" thickBot="1" x14ac:dyDescent="0.45">
      <c r="B3" s="28"/>
      <c r="C3" s="282" t="s">
        <v>1107</v>
      </c>
      <c r="D3" s="5"/>
      <c r="E3" s="5"/>
      <c r="F3" s="5"/>
      <c r="G3" s="5"/>
      <c r="H3" s="123"/>
      <c r="I3" s="123"/>
      <c r="J3" s="123"/>
      <c r="K3" s="123"/>
      <c r="L3" s="5"/>
      <c r="M3" s="5"/>
      <c r="N3" s="5"/>
      <c r="O3" s="5"/>
      <c r="P3" s="5"/>
      <c r="Q3" s="5"/>
      <c r="R3" s="5"/>
    </row>
    <row r="4" spans="2:20" ht="65.099999999999994" customHeight="1" thickBot="1" x14ac:dyDescent="0.45">
      <c r="B4" s="980" t="s">
        <v>646</v>
      </c>
      <c r="C4" s="980" t="s">
        <v>630</v>
      </c>
      <c r="D4" s="981" t="s">
        <v>830</v>
      </c>
      <c r="E4" s="982" t="s">
        <v>822</v>
      </c>
      <c r="F4" s="1006" t="s">
        <v>797</v>
      </c>
      <c r="G4" s="983" t="s">
        <v>858</v>
      </c>
      <c r="H4" s="612" t="s">
        <v>883</v>
      </c>
      <c r="I4" s="612" t="s">
        <v>868</v>
      </c>
      <c r="J4" s="1079" t="s">
        <v>853</v>
      </c>
      <c r="K4" s="1074" t="s">
        <v>854</v>
      </c>
      <c r="L4" s="551" t="s">
        <v>944</v>
      </c>
      <c r="M4" s="1428" t="s">
        <v>956</v>
      </c>
      <c r="N4" s="1428" t="s">
        <v>798</v>
      </c>
      <c r="O4" s="1428" t="s">
        <v>942</v>
      </c>
      <c r="P4" s="1428" t="s">
        <v>963</v>
      </c>
      <c r="Q4" s="1528" t="s">
        <v>943</v>
      </c>
      <c r="R4" s="1588" t="s">
        <v>1118</v>
      </c>
      <c r="S4" s="1750" t="s">
        <v>1084</v>
      </c>
      <c r="T4" s="1696" t="s">
        <v>1097</v>
      </c>
    </row>
    <row r="5" spans="2:20" ht="20.100000000000001" customHeight="1" x14ac:dyDescent="0.3">
      <c r="B5" s="384" t="s">
        <v>331</v>
      </c>
      <c r="C5" s="385" t="s">
        <v>332</v>
      </c>
      <c r="D5" s="716">
        <v>14101</v>
      </c>
      <c r="E5" s="373">
        <f>'[15]GASOLINE REVENUE SUMMARY'!$B$15</f>
        <v>40812.78</v>
      </c>
      <c r="F5" s="158">
        <f>E5-D5</f>
        <v>26711.78</v>
      </c>
      <c r="G5" s="432">
        <v>40000</v>
      </c>
      <c r="H5" s="716"/>
      <c r="I5" s="1207">
        <f>H5</f>
        <v>0</v>
      </c>
      <c r="J5" s="1097">
        <f>I5-G5</f>
        <v>-40000</v>
      </c>
      <c r="K5" s="1211">
        <f>I5/G5</f>
        <v>0</v>
      </c>
      <c r="L5" s="1329"/>
      <c r="M5" s="332">
        <v>12334</v>
      </c>
      <c r="N5" s="326">
        <f>M5-L5</f>
        <v>12334</v>
      </c>
      <c r="O5" s="326">
        <v>25000</v>
      </c>
      <c r="P5" s="326">
        <v>25000</v>
      </c>
      <c r="Q5" s="485">
        <f>P5</f>
        <v>25000</v>
      </c>
      <c r="R5" s="1240">
        <v>32000</v>
      </c>
      <c r="S5" s="76">
        <f>'[16]SUMMRY OF GAS III REV FY 20'!$B$17</f>
        <v>44762.179999999993</v>
      </c>
      <c r="T5" s="1763">
        <v>40000</v>
      </c>
    </row>
    <row r="6" spans="2:20" ht="49.9" customHeight="1" x14ac:dyDescent="0.3">
      <c r="B6" s="669" t="s">
        <v>187</v>
      </c>
      <c r="C6" s="670" t="s">
        <v>179</v>
      </c>
      <c r="D6" s="714">
        <v>575000</v>
      </c>
      <c r="E6" s="433">
        <f>'[15]GASOLINE REVENUE SUMMARY'!$C$15</f>
        <v>650271.01</v>
      </c>
      <c r="F6" s="158">
        <f t="shared" ref="F6:F28" si="0">E6-D6</f>
        <v>75271.010000000009</v>
      </c>
      <c r="G6" s="345">
        <v>651000</v>
      </c>
      <c r="H6" s="714">
        <f>'[17]SUMMRY OF GAS III REV FY 16'!$C$17</f>
        <v>590700.16999999993</v>
      </c>
      <c r="I6" s="1204">
        <f>H6+65012.23</f>
        <v>655712.39999999991</v>
      </c>
      <c r="J6" s="1097">
        <f>I6-G6</f>
        <v>4712.3999999999069</v>
      </c>
      <c r="K6" s="1211">
        <f>I6/G6</f>
        <v>1.0072387096774191</v>
      </c>
      <c r="L6" s="1330">
        <v>651000</v>
      </c>
      <c r="M6" s="333">
        <v>597626</v>
      </c>
      <c r="N6" s="185">
        <f>M6-L6</f>
        <v>-53374</v>
      </c>
      <c r="O6" s="185">
        <v>721000</v>
      </c>
      <c r="P6" s="185">
        <v>721000</v>
      </c>
      <c r="Q6" s="303">
        <f>P6</f>
        <v>721000</v>
      </c>
      <c r="R6" s="345">
        <v>734907</v>
      </c>
      <c r="S6" s="76">
        <f>'[16]SUMMRY OF GAS III REV FY 20'!$C$17</f>
        <v>669124.72</v>
      </c>
      <c r="T6" s="1763">
        <v>669124</v>
      </c>
    </row>
    <row r="7" spans="2:20" ht="49.9" hidden="1" customHeight="1" x14ac:dyDescent="0.3">
      <c r="B7" s="669"/>
      <c r="C7" s="670"/>
      <c r="D7" s="714"/>
      <c r="E7" s="433"/>
      <c r="F7" s="158">
        <f t="shared" si="0"/>
        <v>0</v>
      </c>
      <c r="G7" s="430"/>
      <c r="H7" s="714"/>
      <c r="I7" s="1204"/>
      <c r="J7" s="1095"/>
      <c r="K7" s="1211"/>
      <c r="L7" s="1330"/>
      <c r="M7" s="333"/>
      <c r="N7" s="185"/>
      <c r="O7" s="185"/>
      <c r="P7" s="185"/>
      <c r="Q7" s="303"/>
      <c r="R7" s="430"/>
      <c r="T7" s="1555"/>
    </row>
    <row r="8" spans="2:20" s="671" customFormat="1" ht="33" hidden="1" customHeight="1" x14ac:dyDescent="0.3">
      <c r="B8" s="672"/>
      <c r="C8" s="673" t="s">
        <v>748</v>
      </c>
      <c r="D8" s="928"/>
      <c r="E8" s="678"/>
      <c r="F8" s="158">
        <f t="shared" si="0"/>
        <v>0</v>
      </c>
      <c r="G8" s="345">
        <f t="shared" ref="G8:G22" si="1">E8-D8</f>
        <v>0</v>
      </c>
      <c r="H8" s="928"/>
      <c r="I8" s="1209"/>
      <c r="J8" s="1203"/>
      <c r="K8" s="1212"/>
      <c r="L8" s="1331"/>
      <c r="M8" s="1469"/>
      <c r="N8" s="1470"/>
      <c r="O8" s="1470"/>
      <c r="P8" s="1470"/>
      <c r="Q8" s="1471"/>
      <c r="R8" s="1616"/>
      <c r="T8" s="1764"/>
    </row>
    <row r="9" spans="2:20" ht="20.100000000000001" customHeight="1" x14ac:dyDescent="0.3">
      <c r="B9" s="386" t="s">
        <v>188</v>
      </c>
      <c r="C9" s="35" t="s">
        <v>180</v>
      </c>
      <c r="D9" s="714">
        <v>101281</v>
      </c>
      <c r="E9" s="345">
        <f>'[15]GASOLINE REVENUE SUMMARY'!$D$15</f>
        <v>105291</v>
      </c>
      <c r="F9" s="158">
        <f t="shared" si="0"/>
        <v>4010</v>
      </c>
      <c r="G9" s="345">
        <v>105291</v>
      </c>
      <c r="H9" s="714">
        <f>'[17]SUMMRY OF GAS III REV FY 16'!$D$17</f>
        <v>88856.200000000012</v>
      </c>
      <c r="I9" s="1204">
        <f>H9+17771.24</f>
        <v>106627.44000000002</v>
      </c>
      <c r="J9" s="1097">
        <f t="shared" ref="J9:J26" si="2">I9-G9</f>
        <v>1336.4400000000169</v>
      </c>
      <c r="K9" s="1211">
        <f t="shared" ref="K9:K26" si="3">I9/G9</f>
        <v>1.0126928227483831</v>
      </c>
      <c r="L9" s="1330">
        <v>106000</v>
      </c>
      <c r="M9" s="333">
        <v>88850</v>
      </c>
      <c r="N9" s="185">
        <f t="shared" ref="N9:N26" si="4">M9-L9</f>
        <v>-17150</v>
      </c>
      <c r="O9" s="185">
        <v>143000</v>
      </c>
      <c r="P9" s="185">
        <v>143000</v>
      </c>
      <c r="Q9" s="303">
        <f>P9</f>
        <v>143000</v>
      </c>
      <c r="R9" s="345">
        <v>130608</v>
      </c>
      <c r="S9" s="76">
        <f>'[16]SUMMRY OF GAS III REV FY 20'!$D$17</f>
        <v>129168.32000000001</v>
      </c>
      <c r="T9" s="1763">
        <v>129168</v>
      </c>
    </row>
    <row r="10" spans="2:20" ht="20.100000000000001" customHeight="1" x14ac:dyDescent="0.3">
      <c r="B10" s="386" t="s">
        <v>189</v>
      </c>
      <c r="C10" s="35" t="s">
        <v>181</v>
      </c>
      <c r="D10" s="714"/>
      <c r="E10" s="345"/>
      <c r="F10" s="158">
        <f t="shared" si="0"/>
        <v>0</v>
      </c>
      <c r="G10" s="345">
        <f t="shared" si="1"/>
        <v>0</v>
      </c>
      <c r="H10" s="714"/>
      <c r="I10" s="1204"/>
      <c r="J10" s="1097">
        <f t="shared" si="2"/>
        <v>0</v>
      </c>
      <c r="K10" s="1211"/>
      <c r="L10" s="1330"/>
      <c r="M10" s="333"/>
      <c r="N10" s="185">
        <f t="shared" si="4"/>
        <v>0</v>
      </c>
      <c r="O10" s="185"/>
      <c r="P10" s="335"/>
      <c r="Q10" s="303"/>
      <c r="R10" s="430"/>
      <c r="T10" s="1555"/>
    </row>
    <row r="11" spans="2:20" ht="20.100000000000001" customHeight="1" x14ac:dyDescent="0.3">
      <c r="B11" s="387" t="s">
        <v>38</v>
      </c>
      <c r="C11" s="35" t="s">
        <v>333</v>
      </c>
      <c r="D11" s="714"/>
      <c r="E11" s="345"/>
      <c r="F11" s="158">
        <f t="shared" si="0"/>
        <v>0</v>
      </c>
      <c r="G11" s="345">
        <f t="shared" si="1"/>
        <v>0</v>
      </c>
      <c r="H11" s="714"/>
      <c r="I11" s="1204"/>
      <c r="J11" s="1097">
        <f t="shared" si="2"/>
        <v>0</v>
      </c>
      <c r="K11" s="1211"/>
      <c r="L11" s="1330"/>
      <c r="M11" s="333"/>
      <c r="N11" s="185">
        <f t="shared" si="4"/>
        <v>0</v>
      </c>
      <c r="O11" s="185"/>
      <c r="P11" s="335"/>
      <c r="Q11" s="303"/>
      <c r="R11" s="430"/>
      <c r="T11" s="1555"/>
    </row>
    <row r="12" spans="2:20" ht="20.100000000000001" customHeight="1" x14ac:dyDescent="0.3">
      <c r="B12" s="401">
        <v>44300</v>
      </c>
      <c r="C12" s="35" t="s">
        <v>1009</v>
      </c>
      <c r="D12" s="714">
        <v>65000</v>
      </c>
      <c r="E12" s="345">
        <f>'[15]GASOLINE REVENUE SUMMARY'!$F$15</f>
        <v>154821.65</v>
      </c>
      <c r="F12" s="158">
        <f t="shared" si="0"/>
        <v>89821.65</v>
      </c>
      <c r="G12" s="345">
        <v>155000</v>
      </c>
      <c r="H12" s="714">
        <f>'[17]SUMMRY OF GAS III REV FY 16'!$G$17</f>
        <v>93504</v>
      </c>
      <c r="I12" s="1204">
        <f>H12</f>
        <v>93504</v>
      </c>
      <c r="J12" s="1097">
        <f t="shared" si="2"/>
        <v>-61496</v>
      </c>
      <c r="K12" s="1211">
        <f t="shared" si="3"/>
        <v>0.60325161290322582</v>
      </c>
      <c r="L12" s="1330">
        <v>93504</v>
      </c>
      <c r="M12" s="333"/>
      <c r="N12" s="185">
        <f t="shared" si="4"/>
        <v>-93504</v>
      </c>
      <c r="O12" s="185">
        <v>350000</v>
      </c>
      <c r="P12" s="335">
        <v>40000</v>
      </c>
      <c r="Q12" s="303">
        <f>P12</f>
        <v>40000</v>
      </c>
      <c r="R12" s="345">
        <v>56000</v>
      </c>
      <c r="S12" s="76">
        <f>'[16]SUMMRY OF GAS III REV FY 20'!$G$17+'[18]JUNE 2020'!$N$64</f>
        <v>146103.1</v>
      </c>
      <c r="T12" s="1763">
        <f>45000+110000</f>
        <v>155000</v>
      </c>
    </row>
    <row r="13" spans="2:20" ht="20.100000000000001" customHeight="1" x14ac:dyDescent="0.3">
      <c r="B13" s="386" t="s">
        <v>190</v>
      </c>
      <c r="C13" s="35" t="s">
        <v>182</v>
      </c>
      <c r="D13" s="714"/>
      <c r="E13" s="345"/>
      <c r="F13" s="158">
        <f t="shared" si="0"/>
        <v>0</v>
      </c>
      <c r="G13" s="345">
        <f t="shared" si="1"/>
        <v>0</v>
      </c>
      <c r="H13" s="714"/>
      <c r="I13" s="1204"/>
      <c r="J13" s="1097">
        <f t="shared" si="2"/>
        <v>0</v>
      </c>
      <c r="K13" s="1211"/>
      <c r="L13" s="1330"/>
      <c r="M13" s="333"/>
      <c r="N13" s="185">
        <f t="shared" si="4"/>
        <v>0</v>
      </c>
      <c r="O13" s="185"/>
      <c r="P13" s="335"/>
      <c r="Q13" s="303"/>
      <c r="R13" s="430"/>
      <c r="T13" s="1555"/>
    </row>
    <row r="14" spans="2:20" ht="20.100000000000001" customHeight="1" x14ac:dyDescent="0.3">
      <c r="B14" s="402">
        <v>44700</v>
      </c>
      <c r="C14" s="35" t="s">
        <v>657</v>
      </c>
      <c r="D14" s="714">
        <v>65000</v>
      </c>
      <c r="E14" s="345">
        <f>'[15]GASOLINE REVENUE SUMMARY'!$H$15</f>
        <v>68002.39</v>
      </c>
      <c r="F14" s="158">
        <f t="shared" si="0"/>
        <v>3002.3899999999994</v>
      </c>
      <c r="G14" s="345">
        <v>70000</v>
      </c>
      <c r="H14" s="714">
        <f>'[19]SUMMRY OF GAS III REV FY 16'!$H$17+[20]Sheet1!$H$21</f>
        <v>342493.96</v>
      </c>
      <c r="I14" s="1204">
        <f>H14</f>
        <v>342493.96</v>
      </c>
      <c r="J14" s="1097">
        <f t="shared" si="2"/>
        <v>272493.96000000002</v>
      </c>
      <c r="K14" s="1211">
        <f t="shared" si="3"/>
        <v>4.8927708571428576</v>
      </c>
      <c r="L14" s="1330">
        <v>70000</v>
      </c>
      <c r="M14" s="333">
        <v>52403</v>
      </c>
      <c r="N14" s="185">
        <f t="shared" si="4"/>
        <v>-17597</v>
      </c>
      <c r="O14" s="185">
        <v>52000</v>
      </c>
      <c r="P14" s="185">
        <v>52000</v>
      </c>
      <c r="Q14" s="303">
        <f>P14</f>
        <v>52000</v>
      </c>
      <c r="R14" s="345">
        <v>100000</v>
      </c>
      <c r="S14" s="76">
        <f>'[16]SUMMRY OF GAS III REV FY 20'!$H$17+'[18]MAY 2020'!$N$68</f>
        <v>463167.99999999994</v>
      </c>
      <c r="T14" s="1763">
        <f>413024-300000+50000</f>
        <v>163024</v>
      </c>
    </row>
    <row r="15" spans="2:20" ht="20.100000000000001" customHeight="1" x14ac:dyDescent="0.3">
      <c r="B15" s="402">
        <v>44910</v>
      </c>
      <c r="C15" s="35" t="s">
        <v>1010</v>
      </c>
      <c r="D15" s="714"/>
      <c r="E15" s="345"/>
      <c r="G15" s="345"/>
      <c r="H15" s="714"/>
      <c r="I15" s="1204"/>
      <c r="J15" s="1097"/>
      <c r="K15" s="1211"/>
      <c r="L15" s="1330"/>
      <c r="M15" s="333"/>
      <c r="N15" s="185"/>
      <c r="O15" s="185"/>
      <c r="P15" s="185"/>
      <c r="Q15" s="303"/>
      <c r="R15" s="345">
        <v>615</v>
      </c>
      <c r="S15" s="76">
        <f>'[16]SUMMRY OF GAS III REV FY 20'!$I$17</f>
        <v>0</v>
      </c>
      <c r="T15" s="1555"/>
    </row>
    <row r="16" spans="2:20" ht="20.100000000000001" customHeight="1" x14ac:dyDescent="0.3">
      <c r="B16" s="387" t="s">
        <v>597</v>
      </c>
      <c r="C16" s="35" t="s">
        <v>598</v>
      </c>
      <c r="D16" s="714"/>
      <c r="E16" s="345"/>
      <c r="F16" s="158">
        <f t="shared" si="0"/>
        <v>0</v>
      </c>
      <c r="G16" s="345">
        <f t="shared" si="1"/>
        <v>0</v>
      </c>
      <c r="H16" s="714"/>
      <c r="I16" s="1204"/>
      <c r="J16" s="1097">
        <f t="shared" si="2"/>
        <v>0</v>
      </c>
      <c r="K16" s="1211"/>
      <c r="L16" s="1330"/>
      <c r="M16" s="333"/>
      <c r="N16" s="185">
        <f t="shared" si="4"/>
        <v>0</v>
      </c>
      <c r="O16" s="185"/>
      <c r="P16" s="185"/>
      <c r="Q16" s="303"/>
      <c r="R16" s="430"/>
      <c r="T16" s="1555"/>
    </row>
    <row r="17" spans="2:20" ht="20.100000000000001" customHeight="1" x14ac:dyDescent="0.3">
      <c r="B17" s="387" t="s">
        <v>866</v>
      </c>
      <c r="C17" s="35" t="s">
        <v>867</v>
      </c>
      <c r="D17" s="714"/>
      <c r="E17" s="345"/>
      <c r="G17" s="345"/>
      <c r="H17" s="714">
        <f>'[19]SUMMRY OF GAS III REV FY 16'!$I$17</f>
        <v>614.72</v>
      </c>
      <c r="I17" s="1204">
        <f>H17</f>
        <v>614.72</v>
      </c>
      <c r="J17" s="1097">
        <f t="shared" si="2"/>
        <v>614.72</v>
      </c>
      <c r="K17" s="1211">
        <v>1</v>
      </c>
      <c r="L17" s="1330">
        <v>2200</v>
      </c>
      <c r="M17" s="333"/>
      <c r="N17" s="185">
        <f t="shared" si="4"/>
        <v>-2200</v>
      </c>
      <c r="O17" s="185"/>
      <c r="P17" s="185"/>
      <c r="Q17" s="303"/>
      <c r="R17" s="430"/>
      <c r="S17" s="76">
        <f>'[16]SUMMRY OF GAS III REV FY 20'!$J$17</f>
        <v>1500.45</v>
      </c>
      <c r="T17" s="1555">
        <v>1500</v>
      </c>
    </row>
    <row r="18" spans="2:20" ht="20.100000000000001" customHeight="1" x14ac:dyDescent="0.3">
      <c r="B18" s="386" t="s">
        <v>45</v>
      </c>
      <c r="C18" s="35" t="s">
        <v>184</v>
      </c>
      <c r="D18" s="714">
        <v>10</v>
      </c>
      <c r="E18" s="345">
        <v>10.41</v>
      </c>
      <c r="F18" s="158">
        <f t="shared" si="0"/>
        <v>0.41000000000000014</v>
      </c>
      <c r="G18" s="345">
        <v>10</v>
      </c>
      <c r="H18" s="714">
        <f>'[17]SUMMRY OF GAS III REV FY 16'!$J$17</f>
        <v>14.48</v>
      </c>
      <c r="I18" s="1204">
        <f>H18/10*12</f>
        <v>17.375999999999998</v>
      </c>
      <c r="J18" s="1097">
        <f t="shared" si="2"/>
        <v>7.3759999999999977</v>
      </c>
      <c r="K18" s="1211">
        <f t="shared" si="3"/>
        <v>1.7375999999999998</v>
      </c>
      <c r="L18" s="1330">
        <v>17</v>
      </c>
      <c r="M18" s="333">
        <v>9.5399999999999991</v>
      </c>
      <c r="N18" s="185">
        <f t="shared" si="4"/>
        <v>-7.4600000000000009</v>
      </c>
      <c r="O18" s="185">
        <v>17</v>
      </c>
      <c r="P18" s="185">
        <v>17</v>
      </c>
      <c r="Q18" s="303">
        <f>P18</f>
        <v>17</v>
      </c>
      <c r="R18" s="345">
        <v>13</v>
      </c>
      <c r="S18" s="76">
        <f>'[16]SUMMRY OF GAS III REV FY 20'!$K$17</f>
        <v>95.26</v>
      </c>
      <c r="T18" s="1763">
        <v>95</v>
      </c>
    </row>
    <row r="19" spans="2:20" ht="20.100000000000001" customHeight="1" x14ac:dyDescent="0.3">
      <c r="B19" s="386" t="s">
        <v>555</v>
      </c>
      <c r="C19" s="35" t="s">
        <v>556</v>
      </c>
      <c r="D19" s="714"/>
      <c r="E19" s="345"/>
      <c r="F19" s="158">
        <f t="shared" si="0"/>
        <v>0</v>
      </c>
      <c r="G19" s="345">
        <f t="shared" si="1"/>
        <v>0</v>
      </c>
      <c r="H19" s="714"/>
      <c r="I19" s="1204"/>
      <c r="J19" s="1097">
        <f t="shared" si="2"/>
        <v>0</v>
      </c>
      <c r="K19" s="1211"/>
      <c r="L19" s="1330"/>
      <c r="M19" s="333"/>
      <c r="N19" s="185">
        <f t="shared" si="4"/>
        <v>0</v>
      </c>
      <c r="O19" s="185"/>
      <c r="P19" s="185"/>
      <c r="Q19" s="303"/>
      <c r="R19" s="430"/>
      <c r="T19" s="1555"/>
    </row>
    <row r="20" spans="2:20" ht="20.100000000000001" customHeight="1" x14ac:dyDescent="0.3">
      <c r="B20" s="386" t="s">
        <v>191</v>
      </c>
      <c r="C20" s="35" t="s">
        <v>157</v>
      </c>
      <c r="D20" s="714">
        <v>400000</v>
      </c>
      <c r="E20" s="345">
        <f>[21]Sheet1!$F$6+[21]Sheet1!$F$18+[21]Sheet1!$F$20+[21]Sheet1!$F$21+[21]Sheet1!$F$25+[21]Sheet1!$F$27+[21]Sheet1!$F$33+[21]Sheet1!$F$40+[21]Sheet1!$F$44+[21]Sheet1!$F$48+[21]Sheet1!$F$52+[21]Sheet1!$F$57+[21]Sheet1!$F$59+[21]Sheet1!$F$63+[21]Sheet1!$F$68+[21]Sheet1!$F$73+[21]Sheet1!$F$75+[21]Sheet1!$F$80+[21]Sheet1!$F$82+[21]Sheet1!$F$83+[21]Sheet1!$F$90+[21]Sheet1!$F$92+[21]Sheet1!$F$93+[21]Sheet1!$F$99+[21]Sheet1!$F$101+[21]Sheet1!$F$102+[21]Sheet1!$F$106+[21]Sheet1!$F$108+[21]Sheet1!$F$112+[21]Sheet1!$F$116</f>
        <v>432858</v>
      </c>
      <c r="F20" s="158">
        <f t="shared" si="0"/>
        <v>32858</v>
      </c>
      <c r="G20" s="345">
        <v>433000</v>
      </c>
      <c r="H20" s="714">
        <f>'[17]SUMMRY OF GAS III REV FY 16'!$M$17</f>
        <v>484602.94000000006</v>
      </c>
      <c r="I20" s="1204">
        <f>H20</f>
        <v>484602.94000000006</v>
      </c>
      <c r="J20" s="1097">
        <f t="shared" si="2"/>
        <v>51602.940000000061</v>
      </c>
      <c r="K20" s="1211">
        <f t="shared" si="3"/>
        <v>1.1191753810623557</v>
      </c>
      <c r="L20" s="1330">
        <f>'117-Rev-Other Sources &amp; Expense'!M22</f>
        <v>496840.14619266469</v>
      </c>
      <c r="M20" s="333">
        <v>431770</v>
      </c>
      <c r="N20" s="185">
        <f t="shared" si="4"/>
        <v>-65070.146192664688</v>
      </c>
      <c r="O20" s="185">
        <v>513000</v>
      </c>
      <c r="P20" s="185">
        <v>513000</v>
      </c>
      <c r="Q20" s="303">
        <f>P20</f>
        <v>513000</v>
      </c>
      <c r="R20" s="345">
        <f>350000+81966</f>
        <v>431966</v>
      </c>
      <c r="S20" s="76">
        <f>'[16]SUMMRY OF GAS III REV FY 20'!$O$17+'[18]JULY 2020'!$N$47+'[18]SEPTEMBER 2020'!$N$10</f>
        <v>499334.85</v>
      </c>
      <c r="T20" s="1555">
        <v>462447</v>
      </c>
    </row>
    <row r="21" spans="2:20" ht="20.100000000000001" customHeight="1" x14ac:dyDescent="0.3">
      <c r="B21" s="386" t="s">
        <v>192</v>
      </c>
      <c r="C21" s="35" t="s">
        <v>185</v>
      </c>
      <c r="D21" s="714">
        <v>24700</v>
      </c>
      <c r="E21" s="345">
        <f>'[15]GASOLINE REVENUE SUMMARY'!$M$15</f>
        <v>468</v>
      </c>
      <c r="F21" s="158">
        <f t="shared" si="0"/>
        <v>-24232</v>
      </c>
      <c r="G21" s="345">
        <v>25000</v>
      </c>
      <c r="H21" s="714">
        <f>'[17]SUMMRY OF GAS III REV FY 16'!$N$17</f>
        <v>200</v>
      </c>
      <c r="I21" s="1204"/>
      <c r="J21" s="1097">
        <f t="shared" si="2"/>
        <v>-25000</v>
      </c>
      <c r="K21" s="1211">
        <f t="shared" si="3"/>
        <v>0</v>
      </c>
      <c r="L21" s="1330">
        <v>1000</v>
      </c>
      <c r="M21" s="333"/>
      <c r="N21" s="185">
        <f t="shared" si="4"/>
        <v>-1000</v>
      </c>
      <c r="O21" s="185"/>
      <c r="P21" s="185"/>
      <c r="Q21" s="303"/>
      <c r="R21" s="430"/>
      <c r="T21" s="1555"/>
    </row>
    <row r="22" spans="2:20" ht="20.100000000000001" customHeight="1" x14ac:dyDescent="0.3">
      <c r="B22" s="387" t="s">
        <v>203</v>
      </c>
      <c r="C22" s="35" t="s">
        <v>334</v>
      </c>
      <c r="D22" s="714"/>
      <c r="E22" s="345">
        <f>'[15]GASOLINE REVENUE SUMMARY'!$O$15</f>
        <v>610</v>
      </c>
      <c r="F22" s="158">
        <f t="shared" si="0"/>
        <v>610</v>
      </c>
      <c r="G22" s="345">
        <f t="shared" si="1"/>
        <v>610</v>
      </c>
      <c r="H22" s="714"/>
      <c r="I22" s="1204"/>
      <c r="J22" s="1097">
        <f t="shared" si="2"/>
        <v>-610</v>
      </c>
      <c r="K22" s="1211">
        <f t="shared" si="3"/>
        <v>0</v>
      </c>
      <c r="L22" s="1330"/>
      <c r="M22" s="333"/>
      <c r="N22" s="185">
        <f t="shared" si="4"/>
        <v>0</v>
      </c>
      <c r="O22" s="185"/>
      <c r="P22" s="185"/>
      <c r="Q22" s="303"/>
      <c r="R22" s="430"/>
      <c r="T22" s="1555"/>
    </row>
    <row r="23" spans="2:20" ht="20.100000000000001" customHeight="1" x14ac:dyDescent="0.3">
      <c r="B23" s="387" t="s">
        <v>335</v>
      </c>
      <c r="C23" s="35" t="s">
        <v>336</v>
      </c>
      <c r="D23" s="714">
        <v>18000</v>
      </c>
      <c r="E23" s="345">
        <f>'[15]GASOLINE REVENUE SUMMARY'!$P$15</f>
        <v>6240</v>
      </c>
      <c r="F23" s="158">
        <f t="shared" si="0"/>
        <v>-11760</v>
      </c>
      <c r="G23" s="345">
        <v>6500</v>
      </c>
      <c r="H23" s="714">
        <f>'[17]SUMMRY OF GAS III REV FY 16'!$Q$17</f>
        <v>17833.900000000001</v>
      </c>
      <c r="I23" s="1204">
        <v>4038</v>
      </c>
      <c r="J23" s="1097">
        <f t="shared" si="2"/>
        <v>-2462</v>
      </c>
      <c r="K23" s="1211">
        <f t="shared" si="3"/>
        <v>0.62123076923076925</v>
      </c>
      <c r="L23" s="1330">
        <v>18000</v>
      </c>
      <c r="M23" s="333">
        <v>8007</v>
      </c>
      <c r="N23" s="185">
        <f t="shared" si="4"/>
        <v>-9993</v>
      </c>
      <c r="O23" s="185">
        <v>8500</v>
      </c>
      <c r="P23" s="185">
        <v>8500</v>
      </c>
      <c r="Q23" s="303">
        <f>P23</f>
        <v>8500</v>
      </c>
      <c r="R23" s="345">
        <v>39330</v>
      </c>
      <c r="S23" s="76">
        <f>'[16]SUMMRY OF GAS III REV FY 20'!$S$17</f>
        <v>13887.5</v>
      </c>
      <c r="T23" s="1763">
        <v>13888</v>
      </c>
    </row>
    <row r="24" spans="2:20" ht="20.100000000000001" customHeight="1" x14ac:dyDescent="0.3">
      <c r="B24" s="387" t="s">
        <v>1120</v>
      </c>
      <c r="C24" s="35" t="s">
        <v>1121</v>
      </c>
      <c r="D24" s="714"/>
      <c r="E24" s="345"/>
      <c r="G24" s="345"/>
      <c r="H24" s="714"/>
      <c r="I24" s="1204"/>
      <c r="J24" s="1097"/>
      <c r="K24" s="1211"/>
      <c r="L24" s="1330"/>
      <c r="M24" s="333"/>
      <c r="N24" s="185"/>
      <c r="O24" s="185"/>
      <c r="P24" s="335"/>
      <c r="Q24" s="303"/>
      <c r="R24" s="345"/>
      <c r="S24" s="76">
        <f>'[16]SUMMRY OF GAS III REV FY 20'!$T$17</f>
        <v>15407.5</v>
      </c>
      <c r="T24" s="1555">
        <v>15408</v>
      </c>
    </row>
    <row r="25" spans="2:20" ht="20.100000000000001" customHeight="1" x14ac:dyDescent="0.3">
      <c r="B25" s="386" t="s">
        <v>589</v>
      </c>
      <c r="C25" s="35" t="s">
        <v>183</v>
      </c>
      <c r="D25" s="714">
        <v>8000</v>
      </c>
      <c r="E25" s="345">
        <f>'[15]GASOLINE REVENUE SUMMARY'!$K$15</f>
        <v>6468.35</v>
      </c>
      <c r="F25" s="158">
        <f t="shared" si="0"/>
        <v>-1531.6499999999996</v>
      </c>
      <c r="G25" s="345">
        <v>6500</v>
      </c>
      <c r="H25" s="714">
        <f>'[17]SUMMRY OF GAS III REV FY 16'!$L$17</f>
        <v>23427.37</v>
      </c>
      <c r="I25" s="1204">
        <f>H25</f>
        <v>23427.37</v>
      </c>
      <c r="J25" s="1097">
        <f t="shared" si="2"/>
        <v>16927.37</v>
      </c>
      <c r="K25" s="1211">
        <f t="shared" si="3"/>
        <v>3.604210769230769</v>
      </c>
      <c r="L25" s="1330">
        <v>15000</v>
      </c>
      <c r="M25" s="333"/>
      <c r="N25" s="185">
        <f t="shared" si="4"/>
        <v>-15000</v>
      </c>
      <c r="O25" s="185"/>
      <c r="P25" s="335"/>
      <c r="Q25" s="303"/>
      <c r="R25" s="345">
        <v>14099</v>
      </c>
      <c r="S25" s="76">
        <f>'[16]SUMMRY OF GAS III REV FY 20'!$U$17</f>
        <v>4744.51</v>
      </c>
      <c r="T25" s="1555">
        <v>4745</v>
      </c>
    </row>
    <row r="26" spans="2:20" ht="20.100000000000001" customHeight="1" x14ac:dyDescent="0.3">
      <c r="B26" s="401">
        <v>47905</v>
      </c>
      <c r="C26" s="35" t="s">
        <v>658</v>
      </c>
      <c r="D26" s="714"/>
      <c r="E26" s="345"/>
      <c r="F26" s="158">
        <f t="shared" si="0"/>
        <v>0</v>
      </c>
      <c r="G26" s="345">
        <v>7762</v>
      </c>
      <c r="H26" s="714"/>
      <c r="I26" s="1204"/>
      <c r="J26" s="1097">
        <f t="shared" si="2"/>
        <v>-7762</v>
      </c>
      <c r="K26" s="1211">
        <f t="shared" si="3"/>
        <v>0</v>
      </c>
      <c r="L26" s="1330"/>
      <c r="M26" s="333"/>
      <c r="N26" s="185">
        <f t="shared" si="4"/>
        <v>0</v>
      </c>
      <c r="O26" s="185"/>
      <c r="P26" s="335"/>
      <c r="Q26" s="303"/>
      <c r="R26" s="345">
        <v>10000</v>
      </c>
      <c r="T26" s="1555"/>
    </row>
    <row r="27" spans="2:20" ht="16.5" thickBot="1" x14ac:dyDescent="0.35">
      <c r="B27" s="388" t="s">
        <v>193</v>
      </c>
      <c r="C27" s="389"/>
      <c r="D27" s="715"/>
      <c r="E27" s="372"/>
      <c r="F27" s="158">
        <f t="shared" si="0"/>
        <v>0</v>
      </c>
      <c r="G27" s="916"/>
      <c r="H27" s="715"/>
      <c r="I27" s="1205"/>
      <c r="J27" s="1098"/>
      <c r="K27" s="1213"/>
      <c r="L27" s="1330"/>
      <c r="M27" s="1321"/>
      <c r="N27" s="191"/>
      <c r="O27" s="191"/>
      <c r="P27" s="1515"/>
      <c r="Q27" s="1447"/>
      <c r="R27" s="916"/>
      <c r="T27" s="1555"/>
    </row>
    <row r="28" spans="2:20" ht="21.75" thickBot="1" x14ac:dyDescent="0.45">
      <c r="B28" s="390"/>
      <c r="C28" s="391" t="s">
        <v>52</v>
      </c>
      <c r="D28" s="929">
        <f>SUM(D5:D27)</f>
        <v>1271092</v>
      </c>
      <c r="E28" s="668">
        <f>SUM(E5:E27)</f>
        <v>1465853.5900000003</v>
      </c>
      <c r="F28" s="158">
        <f t="shared" si="0"/>
        <v>194761.59000000032</v>
      </c>
      <c r="G28" s="917">
        <f>SUM(G5:G27)</f>
        <v>1500673</v>
      </c>
      <c r="H28" s="929">
        <f>SUM(H5:H27)</f>
        <v>1642247.7399999998</v>
      </c>
      <c r="I28" s="929">
        <f>SUM(I5:I27)</f>
        <v>1711038.2060000002</v>
      </c>
      <c r="J28" s="1202">
        <f t="shared" ref="J28" si="5">H28-G28</f>
        <v>141574.73999999976</v>
      </c>
      <c r="K28" s="1214">
        <f t="shared" ref="K28" si="6">H28/G28</f>
        <v>1.0943408324131905</v>
      </c>
      <c r="L28" s="1472">
        <f>SUM(L5:L27)</f>
        <v>1453561.1461926647</v>
      </c>
      <c r="M28" s="1472">
        <f t="shared" ref="M28:T28" si="7">SUM(M5:M27)</f>
        <v>1190999.54</v>
      </c>
      <c r="N28" s="1472">
        <f t="shared" si="7"/>
        <v>-262561.60619266471</v>
      </c>
      <c r="O28" s="1472">
        <f>SUM(O5:O27)</f>
        <v>1812517</v>
      </c>
      <c r="P28" s="1472">
        <f>SUM(P5:P27)</f>
        <v>1502517</v>
      </c>
      <c r="Q28" s="1472">
        <f t="shared" si="7"/>
        <v>1502517</v>
      </c>
      <c r="R28" s="1472">
        <f t="shared" si="7"/>
        <v>1549538</v>
      </c>
      <c r="S28" s="1472">
        <f t="shared" si="7"/>
        <v>1987296.39</v>
      </c>
      <c r="T28" s="1765">
        <f t="shared" si="7"/>
        <v>1654399</v>
      </c>
    </row>
    <row r="29" spans="2:20" ht="21" x14ac:dyDescent="0.4">
      <c r="B29" s="552"/>
      <c r="C29" s="552"/>
      <c r="D29" s="553"/>
      <c r="E29" s="679"/>
      <c r="F29" s="1034"/>
      <c r="L29" s="158"/>
      <c r="M29" s="158"/>
      <c r="N29" s="158"/>
      <c r="O29" s="158"/>
      <c r="P29" s="158"/>
      <c r="Q29" s="158"/>
      <c r="T29" s="1555"/>
    </row>
    <row r="30" spans="2:20" ht="45" customHeight="1" thickBot="1" x14ac:dyDescent="0.35">
      <c r="B30" s="36" t="s">
        <v>21</v>
      </c>
      <c r="C30" s="34"/>
      <c r="E30" s="158"/>
      <c r="L30" s="158"/>
      <c r="M30" s="158"/>
      <c r="N30" s="158"/>
      <c r="O30" s="158"/>
      <c r="P30" s="158"/>
      <c r="Q30" s="158"/>
      <c r="T30" s="1555"/>
    </row>
    <row r="31" spans="2:20" ht="20.100000000000001" customHeight="1" x14ac:dyDescent="0.3">
      <c r="B31" s="913" t="s">
        <v>175</v>
      </c>
      <c r="C31" s="914" t="s">
        <v>375</v>
      </c>
      <c r="D31" s="716"/>
      <c r="E31" s="915">
        <v>22884.07</v>
      </c>
      <c r="F31" s="158">
        <f>E31-D31</f>
        <v>22884.07</v>
      </c>
      <c r="G31" s="432"/>
      <c r="H31" s="1207">
        <f>'GENERAL FUND SUMMARY'!AA80</f>
        <v>218635</v>
      </c>
      <c r="I31" s="1207">
        <v>216635</v>
      </c>
      <c r="J31" s="1102">
        <f t="shared" ref="J31:J38" si="8">H31-G31</f>
        <v>218635</v>
      </c>
      <c r="K31" s="1215">
        <v>1</v>
      </c>
      <c r="L31" s="1329"/>
      <c r="M31" s="332"/>
      <c r="N31" s="326"/>
      <c r="O31" s="326"/>
      <c r="P31" s="419"/>
      <c r="Q31" s="485"/>
      <c r="R31" s="76">
        <v>5394</v>
      </c>
      <c r="S31" s="204">
        <v>35426.449999999997</v>
      </c>
      <c r="T31" s="1555">
        <v>40000</v>
      </c>
    </row>
    <row r="32" spans="2:20" ht="20.100000000000001" customHeight="1" x14ac:dyDescent="0.3">
      <c r="B32" s="402">
        <v>61150</v>
      </c>
      <c r="C32" s="555" t="s">
        <v>914</v>
      </c>
      <c r="D32" s="714"/>
      <c r="E32" s="345"/>
      <c r="F32" s="158">
        <f t="shared" ref="F32:F38" si="9">E32-D32</f>
        <v>0</v>
      </c>
      <c r="G32" s="345">
        <f>E32-D32</f>
        <v>0</v>
      </c>
      <c r="H32" s="1208"/>
      <c r="I32" s="1208"/>
      <c r="J32" s="1095"/>
      <c r="K32" s="1211"/>
      <c r="L32" s="1330">
        <f>'116-Revenue &amp; Exp'!H13</f>
        <v>60000</v>
      </c>
      <c r="M32" s="333">
        <v>21000</v>
      </c>
      <c r="N32" s="185">
        <f>M32-L32</f>
        <v>-39000</v>
      </c>
      <c r="O32" s="185">
        <v>30000</v>
      </c>
      <c r="P32" s="185">
        <v>30000</v>
      </c>
      <c r="Q32" s="303">
        <f>P32</f>
        <v>30000</v>
      </c>
      <c r="R32" s="1449">
        <v>30000</v>
      </c>
      <c r="S32" s="204"/>
      <c r="T32" s="1555">
        <f>'116-Revenue &amp; Exp'!N13</f>
        <v>56328.5</v>
      </c>
    </row>
    <row r="33" spans="2:20" ht="20.100000000000001" customHeight="1" x14ac:dyDescent="0.3">
      <c r="B33" s="386" t="s">
        <v>337</v>
      </c>
      <c r="C33" s="555" t="s">
        <v>1157</v>
      </c>
      <c r="D33" s="714"/>
      <c r="E33" s="345">
        <f>73180.76</f>
        <v>73180.759999999995</v>
      </c>
      <c r="F33" s="158">
        <f t="shared" si="9"/>
        <v>73180.759999999995</v>
      </c>
      <c r="G33" s="345">
        <v>54000</v>
      </c>
      <c r="H33" s="1204">
        <v>6000</v>
      </c>
      <c r="I33" s="1204">
        <v>6000</v>
      </c>
      <c r="J33" s="1097">
        <f t="shared" si="8"/>
        <v>-48000</v>
      </c>
      <c r="K33" s="1211">
        <f t="shared" ref="K33:K38" si="10">H33/G33</f>
        <v>0.1111111111111111</v>
      </c>
      <c r="L33" s="1330"/>
      <c r="M33" s="333"/>
      <c r="N33" s="185"/>
      <c r="O33" s="185"/>
      <c r="P33" s="185"/>
      <c r="Q33" s="303"/>
      <c r="R33" s="76"/>
      <c r="S33" s="204">
        <v>945000</v>
      </c>
      <c r="T33" s="1555"/>
    </row>
    <row r="34" spans="2:20" ht="20.100000000000001" customHeight="1" x14ac:dyDescent="0.3">
      <c r="B34" s="386"/>
      <c r="C34" s="555" t="s">
        <v>1158</v>
      </c>
      <c r="D34" s="714"/>
      <c r="E34" s="345"/>
      <c r="G34" s="372"/>
      <c r="H34" s="1205"/>
      <c r="I34" s="1205"/>
      <c r="J34" s="1114"/>
      <c r="K34" s="1216"/>
      <c r="L34" s="1330"/>
      <c r="M34" s="333"/>
      <c r="N34" s="185"/>
      <c r="O34" s="185"/>
      <c r="P34" s="185"/>
      <c r="Q34" s="303"/>
      <c r="R34" s="76"/>
      <c r="S34" s="204">
        <v>186426</v>
      </c>
      <c r="T34" s="1555"/>
    </row>
    <row r="35" spans="2:20" ht="20.100000000000001" customHeight="1" thickBot="1" x14ac:dyDescent="0.35">
      <c r="B35" s="386" t="s">
        <v>176</v>
      </c>
      <c r="C35" s="555" t="s">
        <v>376</v>
      </c>
      <c r="D35" s="714">
        <v>26000</v>
      </c>
      <c r="E35" s="345">
        <f>13123.12+9000+5000</f>
        <v>27123.120000000003</v>
      </c>
      <c r="F35" s="158">
        <f t="shared" si="9"/>
        <v>1123.1200000000026</v>
      </c>
      <c r="G35" s="372">
        <f>'113-Rev and other sources'!J15</f>
        <v>39043</v>
      </c>
      <c r="H35" s="1205">
        <v>27000</v>
      </c>
      <c r="I35" s="1205">
        <v>27000</v>
      </c>
      <c r="J35" s="1114">
        <f t="shared" si="8"/>
        <v>-12043</v>
      </c>
      <c r="K35" s="1216">
        <f t="shared" si="10"/>
        <v>0.69154521937351121</v>
      </c>
      <c r="L35" s="1330">
        <f>'113-Rev and other sources'!J15</f>
        <v>39043</v>
      </c>
      <c r="M35" s="333">
        <v>17801</v>
      </c>
      <c r="N35" s="185">
        <f>M35-L35</f>
        <v>-21242</v>
      </c>
      <c r="O35" s="185">
        <v>30000</v>
      </c>
      <c r="P35" s="185">
        <v>30000</v>
      </c>
      <c r="Q35" s="303">
        <f>P35</f>
        <v>30000</v>
      </c>
      <c r="R35" s="1449">
        <v>32000</v>
      </c>
      <c r="S35" s="1737">
        <v>26200</v>
      </c>
      <c r="T35" s="1555">
        <f>'113-Rev and other sources'!N15</f>
        <v>30728</v>
      </c>
    </row>
    <row r="36" spans="2:20" ht="24.95" customHeight="1" thickTop="1" thickBot="1" x14ac:dyDescent="0.4">
      <c r="B36" s="556"/>
      <c r="C36" s="680" t="s">
        <v>50</v>
      </c>
      <c r="D36" s="681">
        <f>SUM(D31:D35)</f>
        <v>26000</v>
      </c>
      <c r="E36" s="681">
        <f>SUM(E31:E35)</f>
        <v>123187.94999999998</v>
      </c>
      <c r="F36" s="158">
        <f t="shared" si="9"/>
        <v>97187.949999999983</v>
      </c>
      <c r="G36" s="681">
        <f>SUM(G31:G35)</f>
        <v>93043</v>
      </c>
      <c r="H36" s="681">
        <f>SUM(H31:H35)</f>
        <v>251635</v>
      </c>
      <c r="I36" s="681">
        <f>SUM(I31:I35)</f>
        <v>249635</v>
      </c>
      <c r="J36" s="1206">
        <f t="shared" si="8"/>
        <v>158592</v>
      </c>
      <c r="K36" s="1217">
        <f t="shared" si="10"/>
        <v>2.7045022194039317</v>
      </c>
      <c r="L36" s="1473">
        <f>SUM(L31:L35)</f>
        <v>99043</v>
      </c>
      <c r="M36" s="1473">
        <f t="shared" ref="M36:T36" si="11">SUM(M31:M35)</f>
        <v>38801</v>
      </c>
      <c r="N36" s="1473">
        <f t="shared" si="11"/>
        <v>-60242</v>
      </c>
      <c r="O36" s="1473">
        <f>SUM(O31:O35)</f>
        <v>60000</v>
      </c>
      <c r="P36" s="1473">
        <f>SUM(P31:P35)</f>
        <v>60000</v>
      </c>
      <c r="Q36" s="1473">
        <f t="shared" si="11"/>
        <v>60000</v>
      </c>
      <c r="R36" s="1473">
        <f t="shared" si="11"/>
        <v>67394</v>
      </c>
      <c r="S36" s="1473">
        <f t="shared" si="11"/>
        <v>1193052.45</v>
      </c>
      <c r="T36" s="1766">
        <f t="shared" si="11"/>
        <v>127056.5</v>
      </c>
    </row>
    <row r="37" spans="2:20" ht="16.5" thickBot="1" x14ac:dyDescent="0.3">
      <c r="B37" s="34"/>
      <c r="C37" s="34"/>
      <c r="D37" s="85"/>
      <c r="E37" s="682"/>
      <c r="F37" s="158">
        <f t="shared" si="9"/>
        <v>0</v>
      </c>
      <c r="L37" s="1330"/>
      <c r="M37" s="1321"/>
      <c r="N37" s="191"/>
      <c r="O37" s="191"/>
      <c r="P37" s="1515"/>
      <c r="Q37" s="1447"/>
      <c r="S37" s="204"/>
      <c r="T37" s="1555"/>
    </row>
    <row r="38" spans="2:20" ht="22.5" thickTop="1" thickBot="1" x14ac:dyDescent="0.45">
      <c r="B38" s="164" t="s">
        <v>194</v>
      </c>
      <c r="C38" s="165"/>
      <c r="D38" s="930">
        <f>D36+D28</f>
        <v>1297092</v>
      </c>
      <c r="E38" s="166">
        <f>E36+E28</f>
        <v>1589041.5400000003</v>
      </c>
      <c r="F38" s="158">
        <f t="shared" si="9"/>
        <v>291949.54000000027</v>
      </c>
      <c r="G38" s="413">
        <f>G36+G28</f>
        <v>1593716</v>
      </c>
      <c r="H38" s="930">
        <f>H36+H28</f>
        <v>1893882.7399999998</v>
      </c>
      <c r="I38" s="930">
        <f>I36+I28</f>
        <v>1960673.2060000002</v>
      </c>
      <c r="J38" s="1202">
        <f t="shared" si="8"/>
        <v>300166.73999999976</v>
      </c>
      <c r="K38" s="1214">
        <f t="shared" si="10"/>
        <v>1.1883439332980279</v>
      </c>
      <c r="L38" s="1474">
        <f>L36+L28</f>
        <v>1552604.1461926647</v>
      </c>
      <c r="M38" s="1474">
        <f t="shared" ref="M38:T38" si="12">M36+M28</f>
        <v>1229800.54</v>
      </c>
      <c r="N38" s="1474">
        <f>M38-L38</f>
        <v>-322803.60619266471</v>
      </c>
      <c r="O38" s="1474">
        <f>O28+O36</f>
        <v>1872517</v>
      </c>
      <c r="P38" s="1474">
        <f>P28+P36</f>
        <v>1562517</v>
      </c>
      <c r="Q38" s="1474">
        <f t="shared" si="12"/>
        <v>1562517</v>
      </c>
      <c r="R38" s="1474">
        <f t="shared" si="12"/>
        <v>1616932</v>
      </c>
      <c r="S38" s="1474">
        <f t="shared" si="12"/>
        <v>3180348.84</v>
      </c>
      <c r="T38" s="1767">
        <f t="shared" si="12"/>
        <v>1781455.5</v>
      </c>
    </row>
    <row r="39" spans="2:20" ht="16.5" thickTop="1" x14ac:dyDescent="0.25">
      <c r="D39" s="554"/>
      <c r="E39" s="554"/>
    </row>
  </sheetData>
  <phoneticPr fontId="0" type="noConversion"/>
  <printOptions horizontalCentered="1"/>
  <pageMargins left="0" right="0" top="0.25" bottom="0.5" header="0.3" footer="0.3"/>
  <pageSetup paperSize="5" scale="81" fitToHeight="0" orientation="portrait" r:id="rId1"/>
  <headerFooter>
    <oddHeader>&amp;RPAGE 29</oddHeader>
    <oddFooter>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96"/>
  <sheetViews>
    <sheetView topLeftCell="B10" workbookViewId="0">
      <selection activeCell="S46" sqref="S46"/>
    </sheetView>
  </sheetViews>
  <sheetFormatPr defaultRowHeight="15" x14ac:dyDescent="0.25"/>
  <cols>
    <col min="1" max="1" width="13" hidden="1" customWidth="1"/>
    <col min="2" max="2" width="9" customWidth="1"/>
    <col min="3" max="3" width="50.42578125" customWidth="1"/>
    <col min="4" max="4" width="23.28515625" style="204" hidden="1" customWidth="1"/>
    <col min="5" max="5" width="20.5703125" style="76" hidden="1" customWidth="1"/>
    <col min="6" max="6" width="19.42578125" style="76" hidden="1" customWidth="1"/>
    <col min="7" max="7" width="20.7109375" style="76" hidden="1" customWidth="1"/>
    <col min="8" max="8" width="18.85546875" style="76" hidden="1" customWidth="1"/>
    <col min="9" max="9" width="17.28515625" hidden="1" customWidth="1"/>
    <col min="10" max="10" width="18.85546875" style="144" hidden="1" customWidth="1"/>
    <col min="11" max="11" width="21.85546875" hidden="1" customWidth="1"/>
    <col min="12" max="12" width="18.85546875" style="76" hidden="1" customWidth="1"/>
    <col min="13" max="13" width="16.42578125" style="76" hidden="1" customWidth="1"/>
    <col min="14" max="14" width="18.85546875" style="76" hidden="1" customWidth="1"/>
    <col min="15" max="16" width="23.42578125" style="76" hidden="1" customWidth="1"/>
    <col min="17" max="17" width="18.85546875" style="76" hidden="1" customWidth="1"/>
    <col min="18" max="19" width="21" style="76" customWidth="1"/>
    <col min="20" max="20" width="21.85546875" style="204" customWidth="1"/>
  </cols>
  <sheetData>
    <row r="1" spans="1:20" ht="22.5" x14ac:dyDescent="0.4">
      <c r="A1" s="183"/>
      <c r="B1" s="392" t="s">
        <v>345</v>
      </c>
      <c r="C1" s="27"/>
      <c r="D1" s="201"/>
      <c r="E1" s="201"/>
      <c r="F1" s="183"/>
      <c r="G1" s="958">
        <f ca="1">TODAY()</f>
        <v>44259</v>
      </c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6"/>
      <c r="S1" s="186"/>
      <c r="T1" s="202"/>
    </row>
    <row r="2" spans="1:20" ht="22.5" x14ac:dyDescent="0.4">
      <c r="A2" s="186"/>
      <c r="B2" s="20"/>
      <c r="C2" s="1078" t="s">
        <v>1155</v>
      </c>
      <c r="D2" s="202"/>
      <c r="E2" s="202"/>
      <c r="F2" s="186"/>
      <c r="G2" s="959">
        <f ca="1">NOW()</f>
        <v>44259.508154745374</v>
      </c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202"/>
    </row>
    <row r="3" spans="1:20" ht="23.25" thickBot="1" x14ac:dyDescent="0.45">
      <c r="A3" s="184"/>
      <c r="B3" s="157"/>
      <c r="C3" s="282" t="s">
        <v>1107</v>
      </c>
      <c r="D3" s="202"/>
      <c r="E3" s="203"/>
      <c r="F3" s="184"/>
      <c r="G3" s="184"/>
      <c r="H3" s="184"/>
      <c r="I3" s="184"/>
      <c r="J3" s="184"/>
      <c r="K3" s="186"/>
      <c r="L3" s="186"/>
      <c r="M3" s="186"/>
      <c r="N3" s="186"/>
      <c r="O3" s="186"/>
      <c r="P3" s="186"/>
      <c r="Q3" s="186"/>
      <c r="R3" s="186"/>
      <c r="S3" s="186"/>
      <c r="T3" s="202"/>
    </row>
    <row r="4" spans="1:20" ht="69" customHeight="1" thickBot="1" x14ac:dyDescent="0.45">
      <c r="B4" s="980" t="s">
        <v>631</v>
      </c>
      <c r="C4" s="980" t="s">
        <v>630</v>
      </c>
      <c r="D4" s="612" t="s">
        <v>836</v>
      </c>
      <c r="E4" s="982" t="s">
        <v>822</v>
      </c>
      <c r="F4" s="1006" t="s">
        <v>797</v>
      </c>
      <c r="G4" s="983" t="s">
        <v>858</v>
      </c>
      <c r="H4" s="612" t="s">
        <v>883</v>
      </c>
      <c r="I4" s="1079" t="s">
        <v>853</v>
      </c>
      <c r="J4" s="1074" t="s">
        <v>854</v>
      </c>
      <c r="K4" s="551" t="s">
        <v>944</v>
      </c>
      <c r="L4" s="1428" t="s">
        <v>941</v>
      </c>
      <c r="M4" s="1428" t="s">
        <v>798</v>
      </c>
      <c r="N4" s="1428" t="s">
        <v>971</v>
      </c>
      <c r="O4" s="1428" t="s">
        <v>963</v>
      </c>
      <c r="P4" s="1428" t="s">
        <v>983</v>
      </c>
      <c r="Q4" s="1528" t="s">
        <v>943</v>
      </c>
      <c r="R4" s="1588" t="s">
        <v>1118</v>
      </c>
      <c r="S4" s="1588" t="s">
        <v>1125</v>
      </c>
      <c r="T4" s="1710" t="s">
        <v>1119</v>
      </c>
    </row>
    <row r="5" spans="1:20" ht="16.5" thickBot="1" x14ac:dyDescent="0.35">
      <c r="A5" s="176"/>
      <c r="B5" s="988" t="s">
        <v>54</v>
      </c>
      <c r="C5" s="993" t="s">
        <v>101</v>
      </c>
      <c r="D5" s="432">
        <v>862817</v>
      </c>
      <c r="E5" s="432">
        <v>734456.83</v>
      </c>
      <c r="F5" s="432">
        <f>E5-D5</f>
        <v>-128360.17000000004</v>
      </c>
      <c r="G5" s="432">
        <v>867298</v>
      </c>
      <c r="H5" s="1191">
        <f>[22]Sheet1!$B$16</f>
        <v>810020.24</v>
      </c>
      <c r="I5" s="432">
        <f>G5-H5</f>
        <v>57277.760000000009</v>
      </c>
      <c r="J5" s="1075">
        <f>I5/G5</f>
        <v>6.6041614300966917E-2</v>
      </c>
      <c r="K5" s="1329">
        <v>867298</v>
      </c>
      <c r="L5" s="332">
        <v>749256.25</v>
      </c>
      <c r="M5" s="326">
        <f>K5-L5</f>
        <v>118041.75</v>
      </c>
      <c r="N5" s="326">
        <v>988114</v>
      </c>
      <c r="O5" s="326">
        <v>988114</v>
      </c>
      <c r="P5" s="419">
        <f>O5</f>
        <v>988114</v>
      </c>
      <c r="Q5" s="485">
        <f>P5</f>
        <v>988114</v>
      </c>
      <c r="R5" s="332">
        <f>996114+12600</f>
        <v>1008714</v>
      </c>
      <c r="S5" s="1533">
        <f>[23]Sheet1!$B$16</f>
        <v>1071099.45</v>
      </c>
      <c r="T5" s="1757">
        <v>996061</v>
      </c>
    </row>
    <row r="6" spans="1:20" ht="16.5" hidden="1" thickBot="1" x14ac:dyDescent="0.35">
      <c r="A6" s="176"/>
      <c r="B6" s="989" t="s">
        <v>95</v>
      </c>
      <c r="C6" s="994" t="s">
        <v>138</v>
      </c>
      <c r="D6" s="345"/>
      <c r="E6" s="345"/>
      <c r="F6" s="345"/>
      <c r="G6" s="345"/>
      <c r="H6" s="1192"/>
      <c r="I6" s="430"/>
      <c r="J6" s="1076"/>
      <c r="K6" s="1330"/>
      <c r="L6" s="333"/>
      <c r="M6" s="185"/>
      <c r="N6" s="185"/>
      <c r="O6" s="185"/>
      <c r="P6" s="335"/>
      <c r="Q6" s="303"/>
      <c r="R6" s="333"/>
      <c r="S6" s="1128"/>
      <c r="T6" s="1758"/>
    </row>
    <row r="7" spans="1:20" ht="16.5" thickBot="1" x14ac:dyDescent="0.35">
      <c r="A7" s="176"/>
      <c r="B7" s="989" t="s">
        <v>55</v>
      </c>
      <c r="C7" s="994" t="s">
        <v>102</v>
      </c>
      <c r="D7" s="345">
        <v>2000</v>
      </c>
      <c r="E7" s="345">
        <v>5125.1000000000004</v>
      </c>
      <c r="F7" s="345">
        <f>E7-D7</f>
        <v>3125.1000000000004</v>
      </c>
      <c r="G7" s="345">
        <v>4000</v>
      </c>
      <c r="H7" s="1192">
        <f>[22]Sheet1!$C$16</f>
        <v>34639.240000000005</v>
      </c>
      <c r="I7" s="432">
        <f t="shared" ref="I7:I38" si="0">G7-H7</f>
        <v>-30639.240000000005</v>
      </c>
      <c r="J7" s="1075">
        <f t="shared" ref="J7:J18" si="1">I7/G7</f>
        <v>-7.6598100000000011</v>
      </c>
      <c r="K7" s="1330">
        <v>4000</v>
      </c>
      <c r="L7" s="333">
        <v>31554.9</v>
      </c>
      <c r="M7" s="326">
        <f t="shared" ref="M7:M70" si="2">K7-L7</f>
        <v>-27554.9</v>
      </c>
      <c r="N7" s="185">
        <v>4000</v>
      </c>
      <c r="O7" s="185">
        <v>4000</v>
      </c>
      <c r="P7" s="419">
        <f t="shared" ref="P7:P70" si="3">O7</f>
        <v>4000</v>
      </c>
      <c r="Q7" s="303">
        <f t="shared" ref="Q7:Q18" si="4">P7</f>
        <v>4000</v>
      </c>
      <c r="R7" s="333">
        <v>10000</v>
      </c>
      <c r="S7" s="1128">
        <f>[23]Sheet1!$C$16</f>
        <v>33169.975999999995</v>
      </c>
      <c r="T7" s="1758">
        <v>15000</v>
      </c>
    </row>
    <row r="8" spans="1:20" ht="16.5" thickBot="1" x14ac:dyDescent="0.35">
      <c r="A8" s="176"/>
      <c r="B8" s="989" t="s">
        <v>56</v>
      </c>
      <c r="C8" s="994" t="s">
        <v>103</v>
      </c>
      <c r="D8" s="345">
        <v>46516</v>
      </c>
      <c r="E8" s="345">
        <v>45419.87</v>
      </c>
      <c r="F8" s="345">
        <f t="shared" ref="F8:F71" si="5">E8-D8</f>
        <v>-1096.1299999999974</v>
      </c>
      <c r="G8" s="345">
        <v>54467</v>
      </c>
      <c r="H8" s="1192">
        <f>[22]Sheet1!$D$16</f>
        <v>49326.659999999996</v>
      </c>
      <c r="I8" s="432">
        <f t="shared" si="0"/>
        <v>5140.3400000000038</v>
      </c>
      <c r="J8" s="1075">
        <f t="shared" si="1"/>
        <v>9.4375309820625405E-2</v>
      </c>
      <c r="K8" s="1330">
        <v>54467</v>
      </c>
      <c r="L8" s="333">
        <v>38119.71</v>
      </c>
      <c r="M8" s="326">
        <f t="shared" si="2"/>
        <v>16347.29</v>
      </c>
      <c r="N8" s="185">
        <v>56665</v>
      </c>
      <c r="O8" s="185">
        <v>56665</v>
      </c>
      <c r="P8" s="419">
        <f t="shared" si="3"/>
        <v>56665</v>
      </c>
      <c r="Q8" s="303">
        <f t="shared" si="4"/>
        <v>56665</v>
      </c>
      <c r="R8" s="333">
        <v>54000</v>
      </c>
      <c r="S8" s="1128">
        <f>[23]Sheet1!$D$16</f>
        <v>45513.597999999998</v>
      </c>
      <c r="T8" s="1758">
        <v>38664</v>
      </c>
    </row>
    <row r="9" spans="1:20" ht="16.5" thickBot="1" x14ac:dyDescent="0.35">
      <c r="A9" s="176"/>
      <c r="B9" s="989" t="s">
        <v>57</v>
      </c>
      <c r="C9" s="994" t="s">
        <v>104</v>
      </c>
      <c r="D9" s="345">
        <v>122483</v>
      </c>
      <c r="E9" s="345">
        <v>117720.63</v>
      </c>
      <c r="F9" s="345">
        <f t="shared" si="5"/>
        <v>-4762.3699999999953</v>
      </c>
      <c r="G9" s="345">
        <v>148726</v>
      </c>
      <c r="H9" s="1192">
        <f>[22]Sheet1!$E$16</f>
        <v>139334.84999999998</v>
      </c>
      <c r="I9" s="432">
        <f t="shared" si="0"/>
        <v>9391.1500000000233</v>
      </c>
      <c r="J9" s="1075">
        <f t="shared" si="1"/>
        <v>6.3143969447171461E-2</v>
      </c>
      <c r="K9" s="1330">
        <v>148726</v>
      </c>
      <c r="L9" s="333">
        <v>130951.8</v>
      </c>
      <c r="M9" s="326">
        <f t="shared" si="2"/>
        <v>17774.199999999997</v>
      </c>
      <c r="N9" s="185">
        <v>151762</v>
      </c>
      <c r="O9" s="185">
        <v>151762</v>
      </c>
      <c r="P9" s="419">
        <f t="shared" si="3"/>
        <v>151762</v>
      </c>
      <c r="Q9" s="303">
        <f t="shared" si="4"/>
        <v>151762</v>
      </c>
      <c r="R9" s="333">
        <v>178812</v>
      </c>
      <c r="S9" s="1128">
        <f>[23]Sheet1!$E$16</f>
        <v>171882.76699999999</v>
      </c>
      <c r="T9" s="1758">
        <v>195624</v>
      </c>
    </row>
    <row r="10" spans="1:20" ht="16.5" thickBot="1" x14ac:dyDescent="0.35">
      <c r="A10" s="176"/>
      <c r="B10" s="989" t="s">
        <v>58</v>
      </c>
      <c r="C10" s="994" t="s">
        <v>105</v>
      </c>
      <c r="D10" s="345">
        <v>1500</v>
      </c>
      <c r="E10" s="345">
        <v>1190.6500000000001</v>
      </c>
      <c r="F10" s="345">
        <f t="shared" si="5"/>
        <v>-309.34999999999991</v>
      </c>
      <c r="G10" s="345">
        <v>1500</v>
      </c>
      <c r="H10" s="1192">
        <f>[22]Sheet1!$F$16</f>
        <v>1206.1599999999999</v>
      </c>
      <c r="I10" s="432">
        <f t="shared" si="0"/>
        <v>293.84000000000015</v>
      </c>
      <c r="J10" s="1075">
        <f t="shared" si="1"/>
        <v>0.19589333333333342</v>
      </c>
      <c r="K10" s="1330">
        <v>1500</v>
      </c>
      <c r="L10" s="333">
        <v>1124.95</v>
      </c>
      <c r="M10" s="326">
        <f t="shared" si="2"/>
        <v>375.04999999999995</v>
      </c>
      <c r="N10" s="185">
        <v>1500</v>
      </c>
      <c r="O10" s="185">
        <v>1500</v>
      </c>
      <c r="P10" s="419">
        <f t="shared" si="3"/>
        <v>1500</v>
      </c>
      <c r="Q10" s="303">
        <f t="shared" si="4"/>
        <v>1500</v>
      </c>
      <c r="R10" s="333">
        <v>1500</v>
      </c>
      <c r="S10" s="1128">
        <f>[23]Sheet1!$F$16</f>
        <v>1304.702</v>
      </c>
      <c r="T10" s="1758">
        <v>1500</v>
      </c>
    </row>
    <row r="11" spans="1:20" ht="16.5" thickBot="1" x14ac:dyDescent="0.35">
      <c r="A11" s="176"/>
      <c r="B11" s="989" t="s">
        <v>59</v>
      </c>
      <c r="C11" s="994" t="s">
        <v>338</v>
      </c>
      <c r="D11" s="345">
        <v>66159</v>
      </c>
      <c r="E11" s="345">
        <v>51912.43</v>
      </c>
      <c r="F11" s="345">
        <f t="shared" si="5"/>
        <v>-14246.57</v>
      </c>
      <c r="G11" s="345">
        <v>66349</v>
      </c>
      <c r="H11" s="1192">
        <f>[22]Sheet1!$G$16</f>
        <v>61282.78</v>
      </c>
      <c r="I11" s="432">
        <f t="shared" si="0"/>
        <v>5066.2200000000012</v>
      </c>
      <c r="J11" s="1075">
        <f t="shared" si="1"/>
        <v>7.6357141780584503E-2</v>
      </c>
      <c r="K11" s="1330">
        <v>66349</v>
      </c>
      <c r="L11" s="333">
        <v>56245.919999999998</v>
      </c>
      <c r="M11" s="326">
        <f t="shared" si="2"/>
        <v>10103.080000000002</v>
      </c>
      <c r="N11" s="185">
        <v>75897</v>
      </c>
      <c r="O11" s="185">
        <v>75897</v>
      </c>
      <c r="P11" s="419">
        <f t="shared" si="3"/>
        <v>75897</v>
      </c>
      <c r="Q11" s="303">
        <f t="shared" si="4"/>
        <v>75897</v>
      </c>
      <c r="R11" s="333">
        <f>84915+1928</f>
        <v>86843</v>
      </c>
      <c r="S11" s="1128">
        <f>[23]Sheet1!$G$16</f>
        <v>78188.563999999998</v>
      </c>
      <c r="T11" s="1758">
        <v>76199</v>
      </c>
    </row>
    <row r="12" spans="1:20" s="62" customFormat="1" ht="16.5" thickBot="1" x14ac:dyDescent="0.35">
      <c r="A12" s="986"/>
      <c r="B12" s="990" t="s">
        <v>204</v>
      </c>
      <c r="C12" s="995" t="s">
        <v>311</v>
      </c>
      <c r="D12" s="433">
        <v>34765</v>
      </c>
      <c r="E12" s="433">
        <v>34763.57</v>
      </c>
      <c r="F12" s="345">
        <f t="shared" si="5"/>
        <v>-1.430000000000291</v>
      </c>
      <c r="G12" s="433">
        <v>24825</v>
      </c>
      <c r="H12" s="1193">
        <f>[22]Sheet1!$H$16</f>
        <v>26810.89</v>
      </c>
      <c r="I12" s="432">
        <f t="shared" si="0"/>
        <v>-1985.8899999999994</v>
      </c>
      <c r="J12" s="1075">
        <f t="shared" si="1"/>
        <v>-7.9995568982880141E-2</v>
      </c>
      <c r="K12" s="1332">
        <v>24825</v>
      </c>
      <c r="L12" s="1110">
        <v>26612.66</v>
      </c>
      <c r="M12" s="326">
        <f t="shared" si="2"/>
        <v>-1787.6599999999999</v>
      </c>
      <c r="N12" s="188">
        <v>30000</v>
      </c>
      <c r="O12" s="188">
        <v>30000</v>
      </c>
      <c r="P12" s="419">
        <f t="shared" si="3"/>
        <v>30000</v>
      </c>
      <c r="Q12" s="300">
        <f t="shared" si="4"/>
        <v>30000</v>
      </c>
      <c r="R12" s="1110">
        <v>23626</v>
      </c>
      <c r="S12" s="1535">
        <f>[23]Sheet1!$H$16</f>
        <v>24097.18</v>
      </c>
      <c r="T12" s="1758">
        <f>R12</f>
        <v>23626</v>
      </c>
    </row>
    <row r="13" spans="1:20" s="62" customFormat="1" ht="16.5" thickBot="1" x14ac:dyDescent="0.35">
      <c r="A13" s="986"/>
      <c r="B13" s="990" t="s">
        <v>307</v>
      </c>
      <c r="C13" s="995" t="s">
        <v>339</v>
      </c>
      <c r="D13" s="433">
        <v>3405</v>
      </c>
      <c r="E13" s="433"/>
      <c r="F13" s="345">
        <f t="shared" si="5"/>
        <v>-3405</v>
      </c>
      <c r="G13" s="433">
        <v>3405</v>
      </c>
      <c r="H13" s="1193"/>
      <c r="I13" s="432">
        <f t="shared" si="0"/>
        <v>3405</v>
      </c>
      <c r="J13" s="1075">
        <f t="shared" si="1"/>
        <v>1</v>
      </c>
      <c r="K13" s="1332">
        <v>3405</v>
      </c>
      <c r="L13" s="1110"/>
      <c r="M13" s="326">
        <f t="shared" si="2"/>
        <v>3405</v>
      </c>
      <c r="N13" s="188">
        <v>3405</v>
      </c>
      <c r="O13" s="188">
        <v>3405</v>
      </c>
      <c r="P13" s="419">
        <f t="shared" si="3"/>
        <v>3405</v>
      </c>
      <c r="Q13" s="300">
        <f t="shared" si="4"/>
        <v>3405</v>
      </c>
      <c r="R13" s="1110">
        <v>3405</v>
      </c>
      <c r="S13" s="1535">
        <f>[23]Sheet1!$I$16</f>
        <v>342</v>
      </c>
      <c r="T13" s="1758">
        <f>R13</f>
        <v>3405</v>
      </c>
    </row>
    <row r="14" spans="1:20" s="62" customFormat="1" ht="16.5" thickBot="1" x14ac:dyDescent="0.35">
      <c r="A14" s="986"/>
      <c r="B14" s="990" t="s">
        <v>309</v>
      </c>
      <c r="C14" s="995" t="s">
        <v>402</v>
      </c>
      <c r="D14" s="433">
        <v>400</v>
      </c>
      <c r="E14" s="433">
        <v>1320</v>
      </c>
      <c r="F14" s="345">
        <f t="shared" si="5"/>
        <v>920</v>
      </c>
      <c r="G14" s="433">
        <v>1440</v>
      </c>
      <c r="H14" s="1193">
        <f>[22]Sheet1!$L$16</f>
        <v>1080</v>
      </c>
      <c r="I14" s="432">
        <f t="shared" si="0"/>
        <v>360</v>
      </c>
      <c r="J14" s="1075">
        <f t="shared" si="1"/>
        <v>0.25</v>
      </c>
      <c r="K14" s="1332">
        <v>1440</v>
      </c>
      <c r="L14" s="1110">
        <v>1200</v>
      </c>
      <c r="M14" s="326">
        <f t="shared" si="2"/>
        <v>240</v>
      </c>
      <c r="N14" s="188">
        <v>1440</v>
      </c>
      <c r="O14" s="188">
        <v>1440</v>
      </c>
      <c r="P14" s="419">
        <f t="shared" si="3"/>
        <v>1440</v>
      </c>
      <c r="Q14" s="300">
        <f t="shared" si="4"/>
        <v>1440</v>
      </c>
      <c r="R14" s="1110">
        <v>750</v>
      </c>
      <c r="S14" s="1535">
        <f>[23]Sheet1!$L$16</f>
        <v>1680</v>
      </c>
      <c r="T14" s="1758">
        <v>1440</v>
      </c>
    </row>
    <row r="15" spans="1:20" s="62" customFormat="1" ht="16.5" thickBot="1" x14ac:dyDescent="0.35">
      <c r="A15" s="986"/>
      <c r="B15" s="990" t="s">
        <v>146</v>
      </c>
      <c r="C15" s="995" t="s">
        <v>119</v>
      </c>
      <c r="D15" s="433"/>
      <c r="E15" s="433"/>
      <c r="F15" s="345">
        <f t="shared" si="5"/>
        <v>0</v>
      </c>
      <c r="G15" s="433">
        <v>22169</v>
      </c>
      <c r="H15" s="1193"/>
      <c r="I15" s="432">
        <f t="shared" si="0"/>
        <v>22169</v>
      </c>
      <c r="J15" s="1075">
        <f t="shared" si="1"/>
        <v>1</v>
      </c>
      <c r="K15" s="1332">
        <v>22169</v>
      </c>
      <c r="L15" s="1110"/>
      <c r="M15" s="326">
        <f t="shared" si="2"/>
        <v>22169</v>
      </c>
      <c r="N15" s="188">
        <v>22169</v>
      </c>
      <c r="O15" s="188">
        <v>22169</v>
      </c>
      <c r="P15" s="419">
        <v>15000</v>
      </c>
      <c r="Q15" s="300">
        <f t="shared" si="4"/>
        <v>15000</v>
      </c>
      <c r="R15" s="1110">
        <v>16123</v>
      </c>
      <c r="S15" s="1110"/>
      <c r="T15" s="1560">
        <v>16123</v>
      </c>
    </row>
    <row r="16" spans="1:20" s="62" customFormat="1" ht="16.5" thickBot="1" x14ac:dyDescent="0.35">
      <c r="A16" s="986"/>
      <c r="B16" s="990" t="s">
        <v>340</v>
      </c>
      <c r="C16" s="995" t="s">
        <v>341</v>
      </c>
      <c r="D16" s="433">
        <v>500</v>
      </c>
      <c r="E16" s="433">
        <v>170</v>
      </c>
      <c r="F16" s="345">
        <f t="shared" si="5"/>
        <v>-330</v>
      </c>
      <c r="G16" s="433">
        <v>500</v>
      </c>
      <c r="H16" s="1193">
        <f>[22]Sheet1!$N$16</f>
        <v>1894</v>
      </c>
      <c r="I16" s="432">
        <f t="shared" si="0"/>
        <v>-1394</v>
      </c>
      <c r="J16" s="1075">
        <f t="shared" si="1"/>
        <v>-2.7879999999999998</v>
      </c>
      <c r="K16" s="1332">
        <v>500</v>
      </c>
      <c r="L16" s="1110">
        <v>431</v>
      </c>
      <c r="M16" s="326">
        <f t="shared" si="2"/>
        <v>69</v>
      </c>
      <c r="N16" s="188">
        <v>500</v>
      </c>
      <c r="O16" s="188">
        <v>500</v>
      </c>
      <c r="P16" s="419">
        <f t="shared" si="3"/>
        <v>500</v>
      </c>
      <c r="Q16" s="300">
        <f t="shared" si="4"/>
        <v>500</v>
      </c>
      <c r="R16" s="1110">
        <v>2000</v>
      </c>
      <c r="S16" s="1110">
        <f>[23]Sheet1!$N$16</f>
        <v>627</v>
      </c>
      <c r="T16" s="1560">
        <v>2000</v>
      </c>
    </row>
    <row r="17" spans="1:20" s="62" customFormat="1" ht="16.5" thickBot="1" x14ac:dyDescent="0.35">
      <c r="A17" s="986"/>
      <c r="B17" s="990" t="s">
        <v>510</v>
      </c>
      <c r="C17" s="995" t="s">
        <v>595</v>
      </c>
      <c r="D17" s="433">
        <v>750</v>
      </c>
      <c r="E17" s="433"/>
      <c r="F17" s="345">
        <f t="shared" si="5"/>
        <v>-750</v>
      </c>
      <c r="G17" s="433">
        <v>500</v>
      </c>
      <c r="H17" s="1193">
        <f>[22]Sheet1!$P$16</f>
        <v>190</v>
      </c>
      <c r="I17" s="432">
        <f t="shared" si="0"/>
        <v>310</v>
      </c>
      <c r="J17" s="1075">
        <f t="shared" si="1"/>
        <v>0.62</v>
      </c>
      <c r="K17" s="1332">
        <v>500</v>
      </c>
      <c r="L17" s="1110"/>
      <c r="M17" s="326">
        <f t="shared" si="2"/>
        <v>500</v>
      </c>
      <c r="N17" s="188">
        <v>500</v>
      </c>
      <c r="O17" s="397">
        <v>600</v>
      </c>
      <c r="P17" s="419">
        <f t="shared" si="3"/>
        <v>600</v>
      </c>
      <c r="Q17" s="300">
        <f t="shared" si="4"/>
        <v>600</v>
      </c>
      <c r="R17" s="1110">
        <v>5000</v>
      </c>
      <c r="S17" s="1110">
        <f>[23]Sheet1!$P$16</f>
        <v>18308</v>
      </c>
      <c r="T17" s="1560">
        <v>5000</v>
      </c>
    </row>
    <row r="18" spans="1:20" s="62" customFormat="1" ht="16.5" thickBot="1" x14ac:dyDescent="0.35">
      <c r="A18" s="986"/>
      <c r="B18" s="990" t="s">
        <v>352</v>
      </c>
      <c r="C18" s="995" t="s">
        <v>353</v>
      </c>
      <c r="D18" s="433">
        <v>30000</v>
      </c>
      <c r="E18" s="433">
        <v>47482.9</v>
      </c>
      <c r="F18" s="345">
        <f t="shared" si="5"/>
        <v>17482.900000000001</v>
      </c>
      <c r="G18" s="433">
        <v>30000</v>
      </c>
      <c r="H18" s="1193">
        <f>[22]Sheet1!$Q$16</f>
        <v>26234.720000000001</v>
      </c>
      <c r="I18" s="432">
        <f t="shared" si="0"/>
        <v>3765.2799999999988</v>
      </c>
      <c r="J18" s="1075">
        <f t="shared" si="1"/>
        <v>0.12550933333333331</v>
      </c>
      <c r="K18" s="1332">
        <v>30000</v>
      </c>
      <c r="L18" s="1110">
        <v>6333.4</v>
      </c>
      <c r="M18" s="326">
        <f t="shared" si="2"/>
        <v>23666.6</v>
      </c>
      <c r="N18" s="188">
        <v>30000</v>
      </c>
      <c r="O18" s="397">
        <v>15000</v>
      </c>
      <c r="P18" s="419">
        <f t="shared" si="3"/>
        <v>15000</v>
      </c>
      <c r="Q18" s="300">
        <f t="shared" si="4"/>
        <v>15000</v>
      </c>
      <c r="R18" s="1110">
        <v>30000</v>
      </c>
      <c r="S18" s="1110"/>
      <c r="T18" s="1560">
        <v>30000</v>
      </c>
    </row>
    <row r="19" spans="1:20" s="62" customFormat="1" ht="16.5" thickBot="1" x14ac:dyDescent="0.35">
      <c r="A19" s="986"/>
      <c r="B19" s="990" t="s">
        <v>342</v>
      </c>
      <c r="C19" s="995" t="s">
        <v>343</v>
      </c>
      <c r="D19" s="433"/>
      <c r="E19" s="433"/>
      <c r="F19" s="345">
        <f t="shared" si="5"/>
        <v>0</v>
      </c>
      <c r="G19" s="433"/>
      <c r="H19" s="1193"/>
      <c r="I19" s="432">
        <f t="shared" si="0"/>
        <v>0</v>
      </c>
      <c r="J19" s="1075"/>
      <c r="K19" s="1332"/>
      <c r="L19" s="1110"/>
      <c r="M19" s="326">
        <f t="shared" si="2"/>
        <v>0</v>
      </c>
      <c r="N19" s="188"/>
      <c r="O19" s="397"/>
      <c r="P19" s="419">
        <f t="shared" si="3"/>
        <v>0</v>
      </c>
      <c r="Q19" s="300"/>
      <c r="R19" s="1110"/>
      <c r="S19" s="1535"/>
      <c r="T19" s="1758"/>
    </row>
    <row r="20" spans="1:20" s="62" customFormat="1" ht="16.5" hidden="1" thickBot="1" x14ac:dyDescent="0.35">
      <c r="A20" s="986"/>
      <c r="B20" s="990" t="s">
        <v>147</v>
      </c>
      <c r="C20" s="995" t="s">
        <v>155</v>
      </c>
      <c r="D20" s="433"/>
      <c r="E20" s="433"/>
      <c r="F20" s="345">
        <f t="shared" si="5"/>
        <v>0</v>
      </c>
      <c r="G20" s="433"/>
      <c r="H20" s="1193"/>
      <c r="I20" s="432">
        <f t="shared" si="0"/>
        <v>0</v>
      </c>
      <c r="J20" s="1075" t="e">
        <f t="shared" ref="J20:J43" si="6">I20/G20</f>
        <v>#DIV/0!</v>
      </c>
      <c r="K20" s="1332"/>
      <c r="L20" s="1110"/>
      <c r="M20" s="326">
        <f t="shared" si="2"/>
        <v>0</v>
      </c>
      <c r="N20" s="188"/>
      <c r="O20" s="397"/>
      <c r="P20" s="419">
        <f t="shared" si="3"/>
        <v>0</v>
      </c>
      <c r="Q20" s="300"/>
      <c r="R20" s="1110"/>
      <c r="S20" s="1535"/>
      <c r="T20" s="1758"/>
    </row>
    <row r="21" spans="1:20" s="62" customFormat="1" ht="16.5" thickBot="1" x14ac:dyDescent="0.35">
      <c r="A21" s="986"/>
      <c r="B21" s="991">
        <v>170</v>
      </c>
      <c r="C21" s="995" t="s">
        <v>155</v>
      </c>
      <c r="D21" s="433">
        <v>300</v>
      </c>
      <c r="E21" s="433"/>
      <c r="F21" s="345">
        <f t="shared" si="5"/>
        <v>-300</v>
      </c>
      <c r="G21" s="433">
        <v>300</v>
      </c>
      <c r="H21" s="1193"/>
      <c r="I21" s="432">
        <f t="shared" si="0"/>
        <v>300</v>
      </c>
      <c r="J21" s="1075">
        <f t="shared" si="6"/>
        <v>1</v>
      </c>
      <c r="K21" s="1332">
        <v>300</v>
      </c>
      <c r="L21" s="1110"/>
      <c r="M21" s="326">
        <f t="shared" si="2"/>
        <v>300</v>
      </c>
      <c r="N21" s="188"/>
      <c r="O21" s="397"/>
      <c r="P21" s="419">
        <f t="shared" si="3"/>
        <v>0</v>
      </c>
      <c r="Q21" s="300"/>
      <c r="R21" s="1110"/>
      <c r="S21" s="1535">
        <f>[23]Sheet1!$T$16</f>
        <v>150</v>
      </c>
      <c r="T21" s="1758"/>
    </row>
    <row r="22" spans="1:20" s="62" customFormat="1" ht="16.5" thickBot="1" x14ac:dyDescent="0.35">
      <c r="A22" s="986"/>
      <c r="B22" s="990" t="s">
        <v>60</v>
      </c>
      <c r="C22" s="995" t="s">
        <v>344</v>
      </c>
      <c r="D22" s="433">
        <v>2000</v>
      </c>
      <c r="E22" s="433">
        <v>693.15</v>
      </c>
      <c r="F22" s="345">
        <f t="shared" si="5"/>
        <v>-1306.8499999999999</v>
      </c>
      <c r="G22" s="433">
        <v>1000</v>
      </c>
      <c r="H22" s="1193">
        <f>[22]Sheet1!$U$16</f>
        <v>685</v>
      </c>
      <c r="I22" s="432">
        <f t="shared" si="0"/>
        <v>315</v>
      </c>
      <c r="J22" s="1075">
        <f t="shared" si="6"/>
        <v>0.315</v>
      </c>
      <c r="K22" s="1332">
        <v>1000</v>
      </c>
      <c r="L22" s="1110">
        <v>550</v>
      </c>
      <c r="M22" s="326">
        <f t="shared" si="2"/>
        <v>450</v>
      </c>
      <c r="N22" s="188">
        <v>750</v>
      </c>
      <c r="O22" s="397">
        <v>750</v>
      </c>
      <c r="P22" s="419">
        <f t="shared" si="3"/>
        <v>750</v>
      </c>
      <c r="Q22" s="300">
        <f>P22</f>
        <v>750</v>
      </c>
      <c r="R22" s="1110">
        <v>1000</v>
      </c>
      <c r="S22" s="1110">
        <f>[23]Sheet1!$U$16</f>
        <v>900</v>
      </c>
      <c r="T22" s="1560">
        <v>1000</v>
      </c>
    </row>
    <row r="23" spans="1:20" s="62" customFormat="1" ht="16.5" hidden="1" thickBot="1" x14ac:dyDescent="0.35">
      <c r="A23" s="986"/>
      <c r="B23" s="992" t="s">
        <v>168</v>
      </c>
      <c r="C23" s="996" t="s">
        <v>169</v>
      </c>
      <c r="D23" s="433"/>
      <c r="E23" s="433"/>
      <c r="F23" s="345">
        <f t="shared" si="5"/>
        <v>0</v>
      </c>
      <c r="G23" s="433"/>
      <c r="H23" s="1193"/>
      <c r="I23" s="432">
        <f t="shared" si="0"/>
        <v>0</v>
      </c>
      <c r="J23" s="1075" t="e">
        <f t="shared" si="6"/>
        <v>#DIV/0!</v>
      </c>
      <c r="K23" s="1332"/>
      <c r="L23" s="1110"/>
      <c r="M23" s="326">
        <f t="shared" si="2"/>
        <v>0</v>
      </c>
      <c r="N23" s="188"/>
      <c r="O23" s="397"/>
      <c r="P23" s="419">
        <f t="shared" si="3"/>
        <v>0</v>
      </c>
      <c r="Q23" s="300"/>
      <c r="R23" s="1110"/>
      <c r="S23" s="1110"/>
      <c r="T23" s="1560"/>
    </row>
    <row r="24" spans="1:20" s="62" customFormat="1" ht="16.5" hidden="1" thickBot="1" x14ac:dyDescent="0.35">
      <c r="A24" s="986"/>
      <c r="B24" s="990" t="s">
        <v>300</v>
      </c>
      <c r="C24" s="996" t="s">
        <v>172</v>
      </c>
      <c r="D24" s="433"/>
      <c r="E24" s="433"/>
      <c r="F24" s="345">
        <f t="shared" si="5"/>
        <v>0</v>
      </c>
      <c r="G24" s="433"/>
      <c r="H24" s="1193"/>
      <c r="I24" s="432">
        <f t="shared" si="0"/>
        <v>0</v>
      </c>
      <c r="J24" s="1075" t="e">
        <f t="shared" si="6"/>
        <v>#DIV/0!</v>
      </c>
      <c r="K24" s="1332"/>
      <c r="L24" s="1110"/>
      <c r="M24" s="326">
        <f t="shared" si="2"/>
        <v>0</v>
      </c>
      <c r="N24" s="188"/>
      <c r="O24" s="397"/>
      <c r="P24" s="419">
        <f t="shared" si="3"/>
        <v>0</v>
      </c>
      <c r="Q24" s="300"/>
      <c r="R24" s="1110"/>
      <c r="S24" s="1110"/>
      <c r="T24" s="1560"/>
    </row>
    <row r="25" spans="1:20" s="62" customFormat="1" ht="16.5" thickBot="1" x14ac:dyDescent="0.35">
      <c r="A25" s="986"/>
      <c r="B25" s="990" t="s">
        <v>300</v>
      </c>
      <c r="C25" s="996" t="s">
        <v>172</v>
      </c>
      <c r="D25" s="433"/>
      <c r="E25" s="433">
        <v>30522.55</v>
      </c>
      <c r="F25" s="345">
        <f t="shared" si="5"/>
        <v>30522.55</v>
      </c>
      <c r="G25" s="433">
        <v>35000</v>
      </c>
      <c r="H25" s="1193"/>
      <c r="I25" s="432">
        <f t="shared" si="0"/>
        <v>35000</v>
      </c>
      <c r="J25" s="1075">
        <f t="shared" si="6"/>
        <v>1</v>
      </c>
      <c r="K25" s="1332">
        <v>35000</v>
      </c>
      <c r="L25" s="1110"/>
      <c r="M25" s="326">
        <f t="shared" si="2"/>
        <v>35000</v>
      </c>
      <c r="N25" s="188">
        <v>35000</v>
      </c>
      <c r="O25" s="397">
        <v>15000</v>
      </c>
      <c r="P25" s="419">
        <f t="shared" si="3"/>
        <v>15000</v>
      </c>
      <c r="Q25" s="300">
        <f>P25</f>
        <v>15000</v>
      </c>
      <c r="R25" s="1110">
        <f>10000+3225</f>
        <v>13225</v>
      </c>
      <c r="S25" s="1110">
        <f>[23]Sheet1!$W$16</f>
        <v>1225</v>
      </c>
      <c r="T25" s="1560">
        <f>10000+3225+14082.13</f>
        <v>27307.129999999997</v>
      </c>
    </row>
    <row r="26" spans="1:20" s="62" customFormat="1" ht="15.75" customHeight="1" thickBot="1" x14ac:dyDescent="0.35">
      <c r="A26" s="986"/>
      <c r="B26" s="990" t="s">
        <v>166</v>
      </c>
      <c r="C26" s="996" t="s">
        <v>312</v>
      </c>
      <c r="D26" s="433">
        <v>2500</v>
      </c>
      <c r="E26" s="433">
        <v>1177.5</v>
      </c>
      <c r="F26" s="345">
        <f t="shared" si="5"/>
        <v>-1322.5</v>
      </c>
      <c r="G26" s="433">
        <v>2500</v>
      </c>
      <c r="H26" s="1193">
        <f>[22]Sheet1!$X$16</f>
        <v>3140</v>
      </c>
      <c r="I26" s="432">
        <f t="shared" si="0"/>
        <v>-640</v>
      </c>
      <c r="J26" s="1075">
        <f t="shared" si="6"/>
        <v>-0.25600000000000001</v>
      </c>
      <c r="K26" s="1332">
        <v>2500</v>
      </c>
      <c r="L26" s="1110"/>
      <c r="M26" s="326">
        <f t="shared" si="2"/>
        <v>2500</v>
      </c>
      <c r="N26" s="188">
        <v>1500</v>
      </c>
      <c r="O26" s="397">
        <v>1000</v>
      </c>
      <c r="P26" s="419">
        <f t="shared" si="3"/>
        <v>1000</v>
      </c>
      <c r="Q26" s="300">
        <f>P26</f>
        <v>1000</v>
      </c>
      <c r="R26" s="1110">
        <v>2000</v>
      </c>
      <c r="S26" s="1110">
        <f>[23]Sheet1!$X$16</f>
        <v>3397.5</v>
      </c>
      <c r="T26" s="1560">
        <f>2000+66000</f>
        <v>68000</v>
      </c>
    </row>
    <row r="27" spans="1:20" s="62" customFormat="1" ht="16.5" hidden="1" thickBot="1" x14ac:dyDescent="0.35">
      <c r="A27" s="986"/>
      <c r="B27" s="990" t="s">
        <v>153</v>
      </c>
      <c r="C27" s="995" t="s">
        <v>174</v>
      </c>
      <c r="D27" s="433"/>
      <c r="E27" s="433"/>
      <c r="F27" s="345">
        <f t="shared" si="5"/>
        <v>0</v>
      </c>
      <c r="G27" s="433"/>
      <c r="H27" s="1192"/>
      <c r="I27" s="432">
        <f t="shared" si="0"/>
        <v>0</v>
      </c>
      <c r="J27" s="1075" t="e">
        <f t="shared" si="6"/>
        <v>#DIV/0!</v>
      </c>
      <c r="K27" s="1332"/>
      <c r="L27" s="1110"/>
      <c r="M27" s="326">
        <f t="shared" si="2"/>
        <v>0</v>
      </c>
      <c r="N27" s="188"/>
      <c r="O27" s="397"/>
      <c r="P27" s="419">
        <f t="shared" si="3"/>
        <v>0</v>
      </c>
      <c r="Q27" s="300"/>
      <c r="R27" s="1110"/>
      <c r="S27" s="1110"/>
      <c r="T27" s="1560"/>
    </row>
    <row r="28" spans="1:20" s="62" customFormat="1" ht="16.5" thickBot="1" x14ac:dyDescent="0.35">
      <c r="A28" s="986"/>
      <c r="B28" s="990" t="s">
        <v>154</v>
      </c>
      <c r="C28" s="995" t="s">
        <v>156</v>
      </c>
      <c r="D28" s="433">
        <v>5000</v>
      </c>
      <c r="E28" s="433">
        <v>4112.1400000000003</v>
      </c>
      <c r="F28" s="345">
        <f t="shared" si="5"/>
        <v>-887.85999999999967</v>
      </c>
      <c r="G28" s="433">
        <v>5000</v>
      </c>
      <c r="H28" s="1192">
        <f>[22]Sheet1!$Z$16</f>
        <v>5090.1099999999997</v>
      </c>
      <c r="I28" s="432">
        <f t="shared" si="0"/>
        <v>-90.109999999999673</v>
      </c>
      <c r="J28" s="1075">
        <f t="shared" si="6"/>
        <v>-1.8021999999999934E-2</v>
      </c>
      <c r="K28" s="1332">
        <v>5000</v>
      </c>
      <c r="L28" s="1110">
        <v>5265.27</v>
      </c>
      <c r="M28" s="326">
        <f t="shared" si="2"/>
        <v>-265.27000000000044</v>
      </c>
      <c r="N28" s="188">
        <v>5500</v>
      </c>
      <c r="O28" s="188">
        <v>5500</v>
      </c>
      <c r="P28" s="419">
        <f t="shared" si="3"/>
        <v>5500</v>
      </c>
      <c r="Q28" s="300">
        <f>P28</f>
        <v>5500</v>
      </c>
      <c r="R28" s="1110">
        <v>5000</v>
      </c>
      <c r="S28" s="1110">
        <f>[23]Sheet1!$Z$16</f>
        <v>3054.41</v>
      </c>
      <c r="T28" s="1560">
        <v>5000</v>
      </c>
    </row>
    <row r="29" spans="1:20" s="62" customFormat="1" ht="16.5" thickBot="1" x14ac:dyDescent="0.35">
      <c r="A29" s="986"/>
      <c r="B29" s="990" t="s">
        <v>83</v>
      </c>
      <c r="C29" s="995" t="s">
        <v>128</v>
      </c>
      <c r="D29" s="433">
        <v>5000</v>
      </c>
      <c r="E29" s="433"/>
      <c r="F29" s="345">
        <f t="shared" si="5"/>
        <v>-5000</v>
      </c>
      <c r="G29" s="433">
        <v>2500</v>
      </c>
      <c r="H29" s="1192">
        <f>[22]Sheet1!$AA$16</f>
        <v>1582.98</v>
      </c>
      <c r="I29" s="432">
        <f t="shared" si="0"/>
        <v>917.02</v>
      </c>
      <c r="J29" s="1075">
        <f t="shared" si="6"/>
        <v>0.36680799999999997</v>
      </c>
      <c r="K29" s="1332">
        <v>2500</v>
      </c>
      <c r="L29" s="1110"/>
      <c r="M29" s="326">
        <f t="shared" si="2"/>
        <v>2500</v>
      </c>
      <c r="N29" s="188"/>
      <c r="O29" s="188"/>
      <c r="P29" s="419">
        <f t="shared" si="3"/>
        <v>0</v>
      </c>
      <c r="Q29" s="300"/>
      <c r="R29" s="1110">
        <v>10000</v>
      </c>
      <c r="S29" s="1535"/>
      <c r="T29" s="1758">
        <v>0</v>
      </c>
    </row>
    <row r="30" spans="1:20" s="62" customFormat="1" ht="16.5" thickBot="1" x14ac:dyDescent="0.35">
      <c r="A30" s="986"/>
      <c r="B30" s="990" t="s">
        <v>346</v>
      </c>
      <c r="C30" s="995" t="s">
        <v>327</v>
      </c>
      <c r="D30" s="433">
        <v>250</v>
      </c>
      <c r="E30" s="433"/>
      <c r="F30" s="345">
        <f t="shared" si="5"/>
        <v>-250</v>
      </c>
      <c r="G30" s="433">
        <v>1000</v>
      </c>
      <c r="H30" s="1192"/>
      <c r="I30" s="432">
        <f t="shared" si="0"/>
        <v>1000</v>
      </c>
      <c r="J30" s="1075">
        <f t="shared" si="6"/>
        <v>1</v>
      </c>
      <c r="K30" s="1332">
        <v>1000</v>
      </c>
      <c r="L30" s="1110"/>
      <c r="M30" s="326">
        <f t="shared" si="2"/>
        <v>1000</v>
      </c>
      <c r="N30" s="188">
        <v>1000</v>
      </c>
      <c r="O30" s="188">
        <v>1000</v>
      </c>
      <c r="P30" s="419">
        <f t="shared" si="3"/>
        <v>1000</v>
      </c>
      <c r="Q30" s="300">
        <f t="shared" ref="Q30:Q39" si="7">P30</f>
        <v>1000</v>
      </c>
      <c r="R30" s="1110">
        <v>250</v>
      </c>
      <c r="S30" s="1110"/>
      <c r="T30" s="1560">
        <v>250</v>
      </c>
    </row>
    <row r="31" spans="1:20" s="62" customFormat="1" ht="16.5" thickBot="1" x14ac:dyDescent="0.35">
      <c r="A31" s="986"/>
      <c r="B31" s="990" t="s">
        <v>347</v>
      </c>
      <c r="C31" s="995" t="s">
        <v>348</v>
      </c>
      <c r="D31" s="433">
        <v>6000</v>
      </c>
      <c r="E31" s="433">
        <v>9496.7900000000009</v>
      </c>
      <c r="F31" s="345">
        <f t="shared" si="5"/>
        <v>3496.7900000000009</v>
      </c>
      <c r="G31" s="433">
        <v>10000</v>
      </c>
      <c r="H31" s="1192">
        <f>[22]Sheet1!$AD$16</f>
        <v>9848.51</v>
      </c>
      <c r="I31" s="432">
        <f t="shared" si="0"/>
        <v>151.48999999999978</v>
      </c>
      <c r="J31" s="1075">
        <f t="shared" si="6"/>
        <v>1.5148999999999978E-2</v>
      </c>
      <c r="K31" s="1332">
        <v>10000</v>
      </c>
      <c r="L31" s="1110">
        <v>11601.19</v>
      </c>
      <c r="M31" s="326">
        <f t="shared" si="2"/>
        <v>-1601.1900000000005</v>
      </c>
      <c r="N31" s="188">
        <v>12000</v>
      </c>
      <c r="O31" s="188">
        <v>12000</v>
      </c>
      <c r="P31" s="419">
        <f t="shared" si="3"/>
        <v>12000</v>
      </c>
      <c r="Q31" s="300">
        <f t="shared" si="7"/>
        <v>12000</v>
      </c>
      <c r="R31" s="1110">
        <v>12000</v>
      </c>
      <c r="S31" s="1110">
        <f>[23]Sheet1!$AD$16</f>
        <v>13241.18</v>
      </c>
      <c r="T31" s="1560">
        <v>12000</v>
      </c>
    </row>
    <row r="32" spans="1:20" s="62" customFormat="1" ht="16.5" thickBot="1" x14ac:dyDescent="0.35">
      <c r="A32" s="986"/>
      <c r="B32" s="990" t="s">
        <v>61</v>
      </c>
      <c r="C32" s="995" t="s">
        <v>107</v>
      </c>
      <c r="D32" s="433">
        <v>2500</v>
      </c>
      <c r="E32" s="433">
        <v>1689.2</v>
      </c>
      <c r="F32" s="345">
        <f t="shared" si="5"/>
        <v>-810.8</v>
      </c>
      <c r="G32" s="433">
        <v>2000</v>
      </c>
      <c r="H32" s="1193">
        <f>[22]Sheet1!$AE$16</f>
        <v>2456.9700000000003</v>
      </c>
      <c r="I32" s="432">
        <f t="shared" si="0"/>
        <v>-456.97000000000025</v>
      </c>
      <c r="J32" s="1075">
        <f t="shared" si="6"/>
        <v>-0.22848500000000013</v>
      </c>
      <c r="K32" s="1332">
        <v>2000</v>
      </c>
      <c r="L32" s="1110">
        <v>2395.0500000000002</v>
      </c>
      <c r="M32" s="326">
        <f t="shared" si="2"/>
        <v>-395.05000000000018</v>
      </c>
      <c r="N32" s="188">
        <v>2000</v>
      </c>
      <c r="O32" s="188">
        <v>2000</v>
      </c>
      <c r="P32" s="419">
        <f t="shared" si="3"/>
        <v>2000</v>
      </c>
      <c r="Q32" s="300">
        <f t="shared" si="7"/>
        <v>2000</v>
      </c>
      <c r="R32" s="1110">
        <v>2500</v>
      </c>
      <c r="S32" s="1110">
        <f>[23]Sheet1!$AE$16</f>
        <v>1100.97</v>
      </c>
      <c r="T32" s="1560">
        <f>2500+250</f>
        <v>2750</v>
      </c>
    </row>
    <row r="33" spans="1:20" s="62" customFormat="1" ht="16.5" thickBot="1" x14ac:dyDescent="0.35">
      <c r="A33" s="986"/>
      <c r="B33" s="990" t="s">
        <v>79</v>
      </c>
      <c r="C33" s="995" t="s">
        <v>129</v>
      </c>
      <c r="D33" s="433">
        <v>152000</v>
      </c>
      <c r="E33" s="433">
        <v>70596.87</v>
      </c>
      <c r="F33" s="345">
        <f t="shared" si="5"/>
        <v>-81403.13</v>
      </c>
      <c r="G33" s="433">
        <v>120000</v>
      </c>
      <c r="H33" s="1193">
        <f>[22]Sheet1!$AF$16</f>
        <v>94693.99000000002</v>
      </c>
      <c r="I33" s="432">
        <f t="shared" si="0"/>
        <v>25306.00999999998</v>
      </c>
      <c r="J33" s="1075">
        <f t="shared" si="6"/>
        <v>0.21088341666666649</v>
      </c>
      <c r="K33" s="1332">
        <v>120000</v>
      </c>
      <c r="L33" s="1110">
        <v>79612.3</v>
      </c>
      <c r="M33" s="326">
        <f t="shared" si="2"/>
        <v>40387.699999999997</v>
      </c>
      <c r="N33" s="188">
        <v>100000</v>
      </c>
      <c r="O33" s="188">
        <v>100000</v>
      </c>
      <c r="P33" s="419">
        <f t="shared" si="3"/>
        <v>100000</v>
      </c>
      <c r="Q33" s="300">
        <f t="shared" si="7"/>
        <v>100000</v>
      </c>
      <c r="R33" s="1110">
        <f>90000+10000</f>
        <v>100000</v>
      </c>
      <c r="S33" s="1110">
        <f>[23]Sheet1!$AF$16</f>
        <v>101122.47</v>
      </c>
      <c r="T33" s="1560">
        <f>90000+10000+21997.5-2784</f>
        <v>119213.5</v>
      </c>
    </row>
    <row r="34" spans="1:20" s="62" customFormat="1" ht="16.5" thickBot="1" x14ac:dyDescent="0.35">
      <c r="A34" s="986"/>
      <c r="B34" s="990" t="s">
        <v>149</v>
      </c>
      <c r="C34" s="995" t="s">
        <v>354</v>
      </c>
      <c r="D34" s="433">
        <v>155000</v>
      </c>
      <c r="E34" s="433">
        <v>143090</v>
      </c>
      <c r="F34" s="345">
        <f t="shared" si="5"/>
        <v>-11910</v>
      </c>
      <c r="G34" s="433">
        <v>150000</v>
      </c>
      <c r="H34" s="1193">
        <f>[22]Sheet1!$AG$16</f>
        <v>193437.19</v>
      </c>
      <c r="I34" s="432">
        <f t="shared" si="0"/>
        <v>-43437.19</v>
      </c>
      <c r="J34" s="1075">
        <f t="shared" si="6"/>
        <v>-0.28958126666666667</v>
      </c>
      <c r="K34" s="1332">
        <v>150000</v>
      </c>
      <c r="L34" s="1110">
        <v>117809.21</v>
      </c>
      <c r="M34" s="326">
        <f t="shared" si="2"/>
        <v>32190.789999999994</v>
      </c>
      <c r="N34" s="188">
        <v>495000</v>
      </c>
      <c r="O34" s="397">
        <v>150000</v>
      </c>
      <c r="P34" s="419">
        <f>O34+7169-30000</f>
        <v>127169</v>
      </c>
      <c r="Q34" s="300">
        <f t="shared" si="7"/>
        <v>127169</v>
      </c>
      <c r="R34" s="1110">
        <v>135000</v>
      </c>
      <c r="S34" s="1535">
        <f>[23]Sheet1!$AG$16</f>
        <v>583939.56999999995</v>
      </c>
      <c r="T34" s="1758">
        <f>135000+21997.5-25441+44000</f>
        <v>175556.5</v>
      </c>
    </row>
    <row r="35" spans="1:20" s="62" customFormat="1" ht="16.5" thickBot="1" x14ac:dyDescent="0.35">
      <c r="A35" s="986"/>
      <c r="B35" s="990" t="s">
        <v>84</v>
      </c>
      <c r="C35" s="995" t="s">
        <v>130</v>
      </c>
      <c r="D35" s="433">
        <v>1000</v>
      </c>
      <c r="E35" s="433">
        <v>1029.33</v>
      </c>
      <c r="F35" s="345">
        <f t="shared" si="5"/>
        <v>29.329999999999927</v>
      </c>
      <c r="G35" s="433">
        <v>1000</v>
      </c>
      <c r="H35" s="1193">
        <f>[22]Sheet1!$AH$16</f>
        <v>319.34000000000003</v>
      </c>
      <c r="I35" s="432">
        <f t="shared" si="0"/>
        <v>680.66</v>
      </c>
      <c r="J35" s="1075">
        <f t="shared" si="6"/>
        <v>0.68065999999999993</v>
      </c>
      <c r="K35" s="1332">
        <v>1000</v>
      </c>
      <c r="L35" s="1110">
        <v>1081.49</v>
      </c>
      <c r="M35" s="326">
        <f t="shared" si="2"/>
        <v>-81.490000000000009</v>
      </c>
      <c r="N35" s="188">
        <v>1000</v>
      </c>
      <c r="O35" s="188">
        <v>1000</v>
      </c>
      <c r="P35" s="419">
        <f t="shared" si="3"/>
        <v>1000</v>
      </c>
      <c r="Q35" s="300">
        <f t="shared" si="7"/>
        <v>1000</v>
      </c>
      <c r="R35" s="1110">
        <v>1250</v>
      </c>
      <c r="S35" s="1110">
        <f>[23]Sheet1!$AH$16</f>
        <v>1030.67</v>
      </c>
      <c r="T35" s="1560">
        <v>1250</v>
      </c>
    </row>
    <row r="36" spans="1:20" s="62" customFormat="1" ht="16.5" thickBot="1" x14ac:dyDescent="0.35">
      <c r="A36" s="986"/>
      <c r="B36" s="990" t="s">
        <v>87</v>
      </c>
      <c r="C36" s="995" t="s">
        <v>97</v>
      </c>
      <c r="D36" s="433">
        <v>10000</v>
      </c>
      <c r="E36" s="433">
        <v>15739.15</v>
      </c>
      <c r="F36" s="345">
        <f t="shared" si="5"/>
        <v>5739.15</v>
      </c>
      <c r="G36" s="433">
        <v>15000</v>
      </c>
      <c r="H36" s="1193">
        <f>[22]Sheet1!$AI$16</f>
        <v>15820.51</v>
      </c>
      <c r="I36" s="432">
        <f t="shared" si="0"/>
        <v>-820.51000000000022</v>
      </c>
      <c r="J36" s="1075">
        <f t="shared" si="6"/>
        <v>-5.4700666666666682E-2</v>
      </c>
      <c r="K36" s="1332">
        <v>15000</v>
      </c>
      <c r="L36" s="1110">
        <v>13774.62</v>
      </c>
      <c r="M36" s="326">
        <f t="shared" si="2"/>
        <v>1225.3799999999992</v>
      </c>
      <c r="N36" s="188">
        <v>15000</v>
      </c>
      <c r="O36" s="188">
        <v>15000</v>
      </c>
      <c r="P36" s="419">
        <f t="shared" si="3"/>
        <v>15000</v>
      </c>
      <c r="Q36" s="300">
        <f t="shared" si="7"/>
        <v>15000</v>
      </c>
      <c r="R36" s="1110">
        <v>25000</v>
      </c>
      <c r="S36" s="1110">
        <f>[23]Sheet1!$AI$16</f>
        <v>14529.720000000001</v>
      </c>
      <c r="T36" s="1560">
        <v>25000</v>
      </c>
    </row>
    <row r="37" spans="1:20" s="62" customFormat="1" ht="16.5" thickBot="1" x14ac:dyDescent="0.35">
      <c r="A37" s="986"/>
      <c r="B37" s="990" t="s">
        <v>88</v>
      </c>
      <c r="C37" s="995" t="s">
        <v>359</v>
      </c>
      <c r="D37" s="433">
        <v>250</v>
      </c>
      <c r="E37" s="433">
        <v>804.4</v>
      </c>
      <c r="F37" s="345">
        <f t="shared" si="5"/>
        <v>554.4</v>
      </c>
      <c r="G37" s="433">
        <v>500</v>
      </c>
      <c r="H37" s="1193">
        <f>[22]Sheet1!$AJ$16</f>
        <v>88.09</v>
      </c>
      <c r="I37" s="432">
        <f t="shared" si="0"/>
        <v>411.90999999999997</v>
      </c>
      <c r="J37" s="1075">
        <f t="shared" si="6"/>
        <v>0.82381999999999989</v>
      </c>
      <c r="K37" s="1332">
        <v>500</v>
      </c>
      <c r="L37" s="1110">
        <v>237.84</v>
      </c>
      <c r="M37" s="326">
        <f t="shared" si="2"/>
        <v>262.15999999999997</v>
      </c>
      <c r="N37" s="188">
        <v>500</v>
      </c>
      <c r="O37" s="188">
        <v>500</v>
      </c>
      <c r="P37" s="419">
        <f t="shared" si="3"/>
        <v>500</v>
      </c>
      <c r="Q37" s="300">
        <f t="shared" si="7"/>
        <v>500</v>
      </c>
      <c r="R37" s="1110">
        <v>500</v>
      </c>
      <c r="S37" s="1110">
        <f>[23]Sheet1!$AJ$16</f>
        <v>1321.26</v>
      </c>
      <c r="T37" s="1560">
        <v>500</v>
      </c>
    </row>
    <row r="38" spans="1:20" s="62" customFormat="1" ht="16.5" thickBot="1" x14ac:dyDescent="0.35">
      <c r="A38" s="986"/>
      <c r="B38" s="990" t="s">
        <v>62</v>
      </c>
      <c r="C38" s="995" t="s">
        <v>108</v>
      </c>
      <c r="D38" s="433">
        <v>5750</v>
      </c>
      <c r="E38" s="433">
        <v>5502</v>
      </c>
      <c r="F38" s="345">
        <f t="shared" si="5"/>
        <v>-248</v>
      </c>
      <c r="G38" s="433">
        <v>6000</v>
      </c>
      <c r="H38" s="1193">
        <f>[22]Sheet1!$AL$16</f>
        <v>10144.959999999999</v>
      </c>
      <c r="I38" s="432">
        <f t="shared" si="0"/>
        <v>-4144.9599999999991</v>
      </c>
      <c r="J38" s="1075">
        <f t="shared" si="6"/>
        <v>-0.69082666666666648</v>
      </c>
      <c r="K38" s="1332">
        <v>6000</v>
      </c>
      <c r="L38" s="1110">
        <v>13539.04</v>
      </c>
      <c r="M38" s="326">
        <f t="shared" si="2"/>
        <v>-7539.0400000000009</v>
      </c>
      <c r="N38" s="188">
        <v>6000</v>
      </c>
      <c r="O38" s="397">
        <v>10729</v>
      </c>
      <c r="P38" s="419">
        <f t="shared" si="3"/>
        <v>10729</v>
      </c>
      <c r="Q38" s="300">
        <f t="shared" si="7"/>
        <v>10729</v>
      </c>
      <c r="R38" s="1110">
        <v>12500</v>
      </c>
      <c r="S38" s="1110">
        <f>[23]Sheet1!$AL$16</f>
        <v>18619.93</v>
      </c>
      <c r="T38" s="1560">
        <v>12500</v>
      </c>
    </row>
    <row r="39" spans="1:20" s="62" customFormat="1" ht="16.5" thickBot="1" x14ac:dyDescent="0.35">
      <c r="A39" s="986"/>
      <c r="B39" s="990" t="s">
        <v>314</v>
      </c>
      <c r="C39" s="995" t="s">
        <v>358</v>
      </c>
      <c r="D39" s="433">
        <v>5000</v>
      </c>
      <c r="E39" s="433">
        <v>4033.78</v>
      </c>
      <c r="F39" s="345">
        <f t="shared" si="5"/>
        <v>-966.2199999999998</v>
      </c>
      <c r="G39" s="433">
        <v>5000</v>
      </c>
      <c r="H39" s="1193">
        <f>[22]Sheet1!$AM$16</f>
        <v>7019.36</v>
      </c>
      <c r="I39" s="432">
        <f t="shared" ref="I39:I70" si="8">G39-H39</f>
        <v>-2019.3599999999997</v>
      </c>
      <c r="J39" s="1075">
        <f t="shared" si="6"/>
        <v>-0.40387199999999995</v>
      </c>
      <c r="K39" s="1332">
        <v>5000</v>
      </c>
      <c r="L39" s="1110">
        <v>6501.15</v>
      </c>
      <c r="M39" s="326">
        <f t="shared" si="2"/>
        <v>-1501.1499999999996</v>
      </c>
      <c r="N39" s="188">
        <v>6000</v>
      </c>
      <c r="O39" s="188">
        <v>6000</v>
      </c>
      <c r="P39" s="419">
        <f t="shared" si="3"/>
        <v>6000</v>
      </c>
      <c r="Q39" s="300">
        <f t="shared" si="7"/>
        <v>6000</v>
      </c>
      <c r="R39" s="1110">
        <v>5000</v>
      </c>
      <c r="S39" s="1110">
        <f>[23]Sheet1!$AM$16</f>
        <v>37166.339999999997</v>
      </c>
      <c r="T39" s="1560">
        <v>5000</v>
      </c>
    </row>
    <row r="40" spans="1:20" s="62" customFormat="1" ht="16.5" hidden="1" thickBot="1" x14ac:dyDescent="0.35">
      <c r="A40" s="986"/>
      <c r="B40" s="990" t="s">
        <v>150</v>
      </c>
      <c r="C40" s="995" t="s">
        <v>157</v>
      </c>
      <c r="D40" s="433"/>
      <c r="E40" s="433"/>
      <c r="F40" s="345">
        <f t="shared" si="5"/>
        <v>0</v>
      </c>
      <c r="G40" s="433"/>
      <c r="H40" s="1193"/>
      <c r="I40" s="432">
        <f t="shared" si="8"/>
        <v>0</v>
      </c>
      <c r="J40" s="1075" t="e">
        <f t="shared" si="6"/>
        <v>#DIV/0!</v>
      </c>
      <c r="K40" s="1332"/>
      <c r="L40" s="1110"/>
      <c r="M40" s="326">
        <f t="shared" si="2"/>
        <v>0</v>
      </c>
      <c r="N40" s="188"/>
      <c r="O40" s="188"/>
      <c r="P40" s="419">
        <f t="shared" si="3"/>
        <v>0</v>
      </c>
      <c r="Q40" s="300"/>
      <c r="R40" s="1110"/>
      <c r="S40" s="1110"/>
      <c r="T40" s="1560"/>
    </row>
    <row r="41" spans="1:20" s="62" customFormat="1" ht="16.5" hidden="1" thickBot="1" x14ac:dyDescent="0.35">
      <c r="A41" s="986"/>
      <c r="B41" s="990" t="s">
        <v>93</v>
      </c>
      <c r="C41" s="995" t="s">
        <v>110</v>
      </c>
      <c r="D41" s="433"/>
      <c r="E41" s="433"/>
      <c r="F41" s="345">
        <f t="shared" si="5"/>
        <v>0</v>
      </c>
      <c r="G41" s="433"/>
      <c r="H41" s="1193"/>
      <c r="I41" s="432">
        <f t="shared" si="8"/>
        <v>0</v>
      </c>
      <c r="J41" s="1075" t="e">
        <f t="shared" si="6"/>
        <v>#DIV/0!</v>
      </c>
      <c r="K41" s="1332"/>
      <c r="L41" s="1110"/>
      <c r="M41" s="326">
        <f t="shared" si="2"/>
        <v>0</v>
      </c>
      <c r="N41" s="188"/>
      <c r="O41" s="188"/>
      <c r="P41" s="419">
        <f t="shared" si="3"/>
        <v>0</v>
      </c>
      <c r="Q41" s="300"/>
      <c r="R41" s="1110"/>
      <c r="S41" s="1110"/>
      <c r="T41" s="1560"/>
    </row>
    <row r="42" spans="1:20" s="62" customFormat="1" ht="16.5" thickBot="1" x14ac:dyDescent="0.35">
      <c r="A42" s="986"/>
      <c r="B42" s="990" t="s">
        <v>89</v>
      </c>
      <c r="C42" s="997" t="s">
        <v>142</v>
      </c>
      <c r="D42" s="433">
        <v>1000</v>
      </c>
      <c r="E42" s="433">
        <v>875</v>
      </c>
      <c r="F42" s="345">
        <f t="shared" si="5"/>
        <v>-125</v>
      </c>
      <c r="G42" s="433">
        <v>1000</v>
      </c>
      <c r="H42" s="1193">
        <f>[22]Sheet1!$AQ$16</f>
        <v>845.1</v>
      </c>
      <c r="I42" s="432">
        <f t="shared" si="8"/>
        <v>154.89999999999998</v>
      </c>
      <c r="J42" s="1075">
        <f t="shared" si="6"/>
        <v>0.15489999999999998</v>
      </c>
      <c r="K42" s="1332">
        <v>1000</v>
      </c>
      <c r="L42" s="1110">
        <v>87</v>
      </c>
      <c r="M42" s="326">
        <f t="shared" si="2"/>
        <v>913</v>
      </c>
      <c r="N42" s="188">
        <v>1000</v>
      </c>
      <c r="O42" s="188">
        <v>1000</v>
      </c>
      <c r="P42" s="419">
        <f t="shared" si="3"/>
        <v>1000</v>
      </c>
      <c r="Q42" s="300">
        <f>P42</f>
        <v>1000</v>
      </c>
      <c r="R42" s="1110">
        <v>1000</v>
      </c>
      <c r="S42" s="1110"/>
      <c r="T42" s="1560">
        <v>1000</v>
      </c>
    </row>
    <row r="43" spans="1:20" s="62" customFormat="1" ht="16.5" thickBot="1" x14ac:dyDescent="0.35">
      <c r="A43" s="986"/>
      <c r="B43" s="990" t="s">
        <v>151</v>
      </c>
      <c r="C43" s="995" t="s">
        <v>158</v>
      </c>
      <c r="D43" s="433">
        <v>15000</v>
      </c>
      <c r="E43" s="433">
        <v>20983.82</v>
      </c>
      <c r="F43" s="345">
        <f t="shared" si="5"/>
        <v>5983.82</v>
      </c>
      <c r="G43" s="433">
        <v>20000</v>
      </c>
      <c r="H43" s="1193">
        <f>[22]Sheet1!$AR$16</f>
        <v>19409.54</v>
      </c>
      <c r="I43" s="432">
        <f t="shared" si="8"/>
        <v>590.45999999999913</v>
      </c>
      <c r="J43" s="1075">
        <f t="shared" si="6"/>
        <v>2.9522999999999956E-2</v>
      </c>
      <c r="K43" s="1332">
        <v>20000</v>
      </c>
      <c r="L43" s="1110">
        <v>23835.31</v>
      </c>
      <c r="M43" s="326">
        <f t="shared" si="2"/>
        <v>-3835.3100000000013</v>
      </c>
      <c r="N43" s="188">
        <v>25000</v>
      </c>
      <c r="O43" s="188">
        <v>25000</v>
      </c>
      <c r="P43" s="419">
        <f t="shared" si="3"/>
        <v>25000</v>
      </c>
      <c r="Q43" s="300">
        <f>P43</f>
        <v>25000</v>
      </c>
      <c r="R43" s="1110">
        <f>56132-14528+40000</f>
        <v>81604</v>
      </c>
      <c r="S43" s="1110">
        <f>[23]Sheet1!$AR$16</f>
        <v>69326.38</v>
      </c>
      <c r="T43" s="1560">
        <f>56132-14528+40000+40000+28164.25</f>
        <v>149768.25</v>
      </c>
    </row>
    <row r="44" spans="1:20" s="62" customFormat="1" ht="16.5" thickBot="1" x14ac:dyDescent="0.35">
      <c r="A44" s="986"/>
      <c r="B44" s="990" t="s">
        <v>63</v>
      </c>
      <c r="C44" s="995" t="s">
        <v>121</v>
      </c>
      <c r="D44" s="433"/>
      <c r="E44" s="433"/>
      <c r="F44" s="345">
        <f t="shared" si="5"/>
        <v>0</v>
      </c>
      <c r="G44" s="433"/>
      <c r="H44" s="1193"/>
      <c r="I44" s="432">
        <f t="shared" si="8"/>
        <v>0</v>
      </c>
      <c r="J44" s="1075"/>
      <c r="K44" s="1332"/>
      <c r="L44" s="1110"/>
      <c r="M44" s="326">
        <f t="shared" si="2"/>
        <v>0</v>
      </c>
      <c r="N44" s="188"/>
      <c r="O44" s="188"/>
      <c r="P44" s="419">
        <f t="shared" si="3"/>
        <v>0</v>
      </c>
      <c r="Q44" s="300">
        <f>P44</f>
        <v>0</v>
      </c>
      <c r="R44" s="1110"/>
      <c r="S44" s="1110"/>
      <c r="T44" s="1560"/>
    </row>
    <row r="45" spans="1:20" s="62" customFormat="1" ht="16.5" thickBot="1" x14ac:dyDescent="0.35">
      <c r="A45" s="986"/>
      <c r="B45" s="990" t="s">
        <v>80</v>
      </c>
      <c r="C45" s="995" t="s">
        <v>159</v>
      </c>
      <c r="D45" s="433">
        <v>17500</v>
      </c>
      <c r="E45" s="433">
        <v>21792.84</v>
      </c>
      <c r="F45" s="345">
        <f t="shared" si="5"/>
        <v>4292.84</v>
      </c>
      <c r="G45" s="433">
        <v>20000</v>
      </c>
      <c r="H45" s="1193">
        <f>[22]Sheet1!$AT$16</f>
        <v>41613.79</v>
      </c>
      <c r="I45" s="432">
        <f t="shared" si="8"/>
        <v>-21613.79</v>
      </c>
      <c r="J45" s="1075">
        <f>I45/G45</f>
        <v>-1.0806895000000001</v>
      </c>
      <c r="K45" s="1332">
        <v>20000</v>
      </c>
      <c r="L45" s="1110">
        <v>22060.35</v>
      </c>
      <c r="M45" s="326">
        <f t="shared" si="2"/>
        <v>-2060.3499999999985</v>
      </c>
      <c r="N45" s="188">
        <v>20000</v>
      </c>
      <c r="O45" s="188">
        <v>20000</v>
      </c>
      <c r="P45" s="419">
        <f t="shared" si="3"/>
        <v>20000</v>
      </c>
      <c r="Q45" s="300">
        <f>P45</f>
        <v>20000</v>
      </c>
      <c r="R45" s="1110">
        <v>20000</v>
      </c>
      <c r="S45" s="1110">
        <f>[23]Sheet1!$AT$16</f>
        <v>27701.089999999997</v>
      </c>
      <c r="T45" s="1560">
        <v>20000</v>
      </c>
    </row>
    <row r="46" spans="1:20" s="62" customFormat="1" ht="16.5" thickBot="1" x14ac:dyDescent="0.35">
      <c r="A46" s="986"/>
      <c r="B46" s="990" t="s">
        <v>85</v>
      </c>
      <c r="C46" s="995" t="s">
        <v>349</v>
      </c>
      <c r="D46" s="433"/>
      <c r="E46" s="433"/>
      <c r="F46" s="345">
        <f t="shared" si="5"/>
        <v>0</v>
      </c>
      <c r="G46" s="433"/>
      <c r="H46" s="1193"/>
      <c r="I46" s="432">
        <f t="shared" si="8"/>
        <v>0</v>
      </c>
      <c r="J46" s="1075"/>
      <c r="K46" s="1332"/>
      <c r="L46" s="1110"/>
      <c r="M46" s="326">
        <f t="shared" si="2"/>
        <v>0</v>
      </c>
      <c r="N46" s="188"/>
      <c r="O46" s="188"/>
      <c r="P46" s="419">
        <f t="shared" si="3"/>
        <v>0</v>
      </c>
      <c r="Q46" s="300"/>
      <c r="R46" s="1110"/>
      <c r="S46" s="1110"/>
      <c r="T46" s="1560"/>
    </row>
    <row r="47" spans="1:20" s="62" customFormat="1" ht="16.5" thickBot="1" x14ac:dyDescent="0.35">
      <c r="A47" s="986"/>
      <c r="B47" s="990" t="s">
        <v>144</v>
      </c>
      <c r="C47" s="998" t="s">
        <v>749</v>
      </c>
      <c r="D47" s="433"/>
      <c r="E47" s="433"/>
      <c r="F47" s="345">
        <f t="shared" si="5"/>
        <v>0</v>
      </c>
      <c r="G47" s="433"/>
      <c r="H47" s="1193"/>
      <c r="I47" s="432">
        <f t="shared" si="8"/>
        <v>0</v>
      </c>
      <c r="J47" s="1075"/>
      <c r="K47" s="1332"/>
      <c r="L47" s="1110"/>
      <c r="M47" s="326">
        <f t="shared" si="2"/>
        <v>0</v>
      </c>
      <c r="N47" s="188"/>
      <c r="O47" s="188"/>
      <c r="P47" s="419">
        <f t="shared" si="3"/>
        <v>0</v>
      </c>
      <c r="Q47" s="300"/>
      <c r="R47" s="1110"/>
      <c r="S47" s="1110">
        <f>[23]Sheet1!$AV$16</f>
        <v>1000</v>
      </c>
      <c r="T47" s="1560"/>
    </row>
    <row r="48" spans="1:20" s="62" customFormat="1" ht="16.5" thickBot="1" x14ac:dyDescent="0.35">
      <c r="A48" s="986"/>
      <c r="B48" s="990" t="s">
        <v>304</v>
      </c>
      <c r="C48" s="998" t="s">
        <v>316</v>
      </c>
      <c r="D48" s="433">
        <v>15000</v>
      </c>
      <c r="E48" s="433">
        <v>16215.39</v>
      </c>
      <c r="F48" s="345">
        <f t="shared" si="5"/>
        <v>1215.3899999999994</v>
      </c>
      <c r="G48" s="433">
        <v>18000</v>
      </c>
      <c r="H48" s="1193">
        <f>[22]Sheet1!$AW$16</f>
        <v>16185.59</v>
      </c>
      <c r="I48" s="432">
        <f t="shared" si="8"/>
        <v>1814.4099999999999</v>
      </c>
      <c r="J48" s="1075">
        <f t="shared" ref="J48:J63" si="9">I48/G48</f>
        <v>0.10080055555555555</v>
      </c>
      <c r="K48" s="1332">
        <v>18000</v>
      </c>
      <c r="L48" s="1110">
        <v>14227.63</v>
      </c>
      <c r="M48" s="326">
        <f t="shared" si="2"/>
        <v>3772.3700000000008</v>
      </c>
      <c r="N48" s="188">
        <v>18000</v>
      </c>
      <c r="O48" s="188">
        <v>18000</v>
      </c>
      <c r="P48" s="419">
        <f t="shared" si="3"/>
        <v>18000</v>
      </c>
      <c r="Q48" s="300">
        <f>P48</f>
        <v>18000</v>
      </c>
      <c r="R48" s="1110">
        <v>15000</v>
      </c>
      <c r="S48" s="1110">
        <f>[23]Sheet1!$AW$16</f>
        <v>11091.09</v>
      </c>
      <c r="T48" s="1560">
        <v>25000</v>
      </c>
    </row>
    <row r="49" spans="1:20" s="62" customFormat="1" ht="16.5" hidden="1" thickBot="1" x14ac:dyDescent="0.35">
      <c r="A49" s="986"/>
      <c r="B49" s="990" t="s">
        <v>86</v>
      </c>
      <c r="C49" s="995" t="s">
        <v>170</v>
      </c>
      <c r="D49" s="433"/>
      <c r="E49" s="433"/>
      <c r="F49" s="345">
        <f t="shared" si="5"/>
        <v>0</v>
      </c>
      <c r="G49" s="433"/>
      <c r="H49" s="1193"/>
      <c r="I49" s="432">
        <f t="shared" si="8"/>
        <v>0</v>
      </c>
      <c r="J49" s="1075" t="e">
        <f t="shared" si="9"/>
        <v>#DIV/0!</v>
      </c>
      <c r="K49" s="1332"/>
      <c r="L49" s="1110"/>
      <c r="M49" s="326">
        <f t="shared" si="2"/>
        <v>0</v>
      </c>
      <c r="N49" s="188"/>
      <c r="O49" s="188"/>
      <c r="P49" s="419">
        <f t="shared" si="3"/>
        <v>0</v>
      </c>
      <c r="Q49" s="300"/>
      <c r="R49" s="1110"/>
      <c r="S49" s="1110"/>
      <c r="T49" s="1560"/>
    </row>
    <row r="50" spans="1:20" s="62" customFormat="1" ht="16.5" hidden="1" thickBot="1" x14ac:dyDescent="0.35">
      <c r="A50" s="986"/>
      <c r="B50" s="990" t="s">
        <v>302</v>
      </c>
      <c r="C50" s="995" t="s">
        <v>132</v>
      </c>
      <c r="D50" s="433"/>
      <c r="E50" s="433"/>
      <c r="F50" s="345">
        <f t="shared" si="5"/>
        <v>0</v>
      </c>
      <c r="G50" s="433"/>
      <c r="H50" s="1193"/>
      <c r="I50" s="432">
        <f t="shared" si="8"/>
        <v>0</v>
      </c>
      <c r="J50" s="1075" t="e">
        <f t="shared" si="9"/>
        <v>#DIV/0!</v>
      </c>
      <c r="K50" s="1332"/>
      <c r="L50" s="1110"/>
      <c r="M50" s="326">
        <f t="shared" si="2"/>
        <v>0</v>
      </c>
      <c r="N50" s="188"/>
      <c r="O50" s="188"/>
      <c r="P50" s="419">
        <f t="shared" si="3"/>
        <v>0</v>
      </c>
      <c r="Q50" s="300"/>
      <c r="R50" s="1110"/>
      <c r="S50" s="1110"/>
      <c r="T50" s="1560"/>
    </row>
    <row r="51" spans="1:20" s="62" customFormat="1" ht="16.5" hidden="1" thickBot="1" x14ac:dyDescent="0.35">
      <c r="A51" s="986"/>
      <c r="B51" s="990" t="s">
        <v>90</v>
      </c>
      <c r="C51" s="995" t="s">
        <v>133</v>
      </c>
      <c r="D51" s="433"/>
      <c r="E51" s="433"/>
      <c r="F51" s="345">
        <f t="shared" si="5"/>
        <v>0</v>
      </c>
      <c r="G51" s="433"/>
      <c r="H51" s="1193"/>
      <c r="I51" s="432">
        <f t="shared" si="8"/>
        <v>0</v>
      </c>
      <c r="J51" s="1075" t="e">
        <f t="shared" si="9"/>
        <v>#DIV/0!</v>
      </c>
      <c r="K51" s="1332"/>
      <c r="L51" s="1110"/>
      <c r="M51" s="326">
        <f t="shared" si="2"/>
        <v>0</v>
      </c>
      <c r="N51" s="188"/>
      <c r="O51" s="188"/>
      <c r="P51" s="419">
        <f t="shared" si="3"/>
        <v>0</v>
      </c>
      <c r="Q51" s="300"/>
      <c r="R51" s="1110"/>
      <c r="S51" s="1110"/>
      <c r="T51" s="1560"/>
    </row>
    <row r="52" spans="1:20" s="62" customFormat="1" ht="16.5" hidden="1" thickBot="1" x14ac:dyDescent="0.35">
      <c r="A52" s="986"/>
      <c r="B52" s="990" t="s">
        <v>303</v>
      </c>
      <c r="C52" s="995" t="s">
        <v>134</v>
      </c>
      <c r="D52" s="433"/>
      <c r="E52" s="433"/>
      <c r="F52" s="345">
        <f t="shared" si="5"/>
        <v>0</v>
      </c>
      <c r="G52" s="433"/>
      <c r="H52" s="1193"/>
      <c r="I52" s="432">
        <f t="shared" si="8"/>
        <v>0</v>
      </c>
      <c r="J52" s="1075" t="e">
        <f t="shared" si="9"/>
        <v>#DIV/0!</v>
      </c>
      <c r="K52" s="1332"/>
      <c r="L52" s="1110"/>
      <c r="M52" s="326">
        <f t="shared" si="2"/>
        <v>0</v>
      </c>
      <c r="N52" s="188"/>
      <c r="O52" s="188"/>
      <c r="P52" s="419">
        <f t="shared" si="3"/>
        <v>0</v>
      </c>
      <c r="Q52" s="300"/>
      <c r="R52" s="1110"/>
      <c r="S52" s="1110"/>
      <c r="T52" s="1560"/>
    </row>
    <row r="53" spans="1:20" s="62" customFormat="1" ht="16.5" thickBot="1" x14ac:dyDescent="0.35">
      <c r="A53" s="986"/>
      <c r="B53" s="990" t="s">
        <v>65</v>
      </c>
      <c r="C53" s="995" t="s">
        <v>649</v>
      </c>
      <c r="D53" s="433">
        <v>2500</v>
      </c>
      <c r="E53" s="433">
        <v>736.84</v>
      </c>
      <c r="F53" s="345">
        <f t="shared" si="5"/>
        <v>-1763.1599999999999</v>
      </c>
      <c r="G53" s="433">
        <v>1000</v>
      </c>
      <c r="H53" s="1193">
        <f>[22]Sheet1!$BC$16</f>
        <v>1152.46</v>
      </c>
      <c r="I53" s="432">
        <f t="shared" si="8"/>
        <v>-152.46000000000004</v>
      </c>
      <c r="J53" s="1075">
        <f t="shared" si="9"/>
        <v>-0.15246000000000004</v>
      </c>
      <c r="K53" s="1332">
        <v>1000</v>
      </c>
      <c r="L53" s="1110">
        <v>2124.3200000000002</v>
      </c>
      <c r="M53" s="326">
        <f t="shared" si="2"/>
        <v>-1124.3200000000002</v>
      </c>
      <c r="N53" s="188">
        <v>1000</v>
      </c>
      <c r="O53" s="188">
        <v>1000</v>
      </c>
      <c r="P53" s="419">
        <f t="shared" si="3"/>
        <v>1000</v>
      </c>
      <c r="Q53" s="300">
        <f>P53</f>
        <v>1000</v>
      </c>
      <c r="R53" s="1110">
        <v>500</v>
      </c>
      <c r="S53" s="1110">
        <f>[23]Sheet1!$BC$16</f>
        <v>650</v>
      </c>
      <c r="T53" s="1560">
        <v>500</v>
      </c>
    </row>
    <row r="54" spans="1:20" s="62" customFormat="1" ht="16.5" thickBot="1" x14ac:dyDescent="0.35">
      <c r="A54" s="986"/>
      <c r="B54" s="990" t="s">
        <v>66</v>
      </c>
      <c r="C54" s="995" t="s">
        <v>98</v>
      </c>
      <c r="D54" s="433">
        <v>12000</v>
      </c>
      <c r="E54" s="433">
        <v>13437.32</v>
      </c>
      <c r="F54" s="345">
        <f t="shared" si="5"/>
        <v>1437.3199999999997</v>
      </c>
      <c r="G54" s="433">
        <v>15000</v>
      </c>
      <c r="H54" s="1193">
        <f>[22]Sheet1!$BD$16</f>
        <v>16469.78</v>
      </c>
      <c r="I54" s="432">
        <f t="shared" si="8"/>
        <v>-1469.7799999999988</v>
      </c>
      <c r="J54" s="1075">
        <f t="shared" si="9"/>
        <v>-9.7985333333333258E-2</v>
      </c>
      <c r="K54" s="1332">
        <v>15000</v>
      </c>
      <c r="L54" s="1110">
        <v>17561.84</v>
      </c>
      <c r="M54" s="326">
        <f t="shared" si="2"/>
        <v>-2561.84</v>
      </c>
      <c r="N54" s="188">
        <v>15000</v>
      </c>
      <c r="O54" s="188">
        <v>15000</v>
      </c>
      <c r="P54" s="419">
        <f t="shared" si="3"/>
        <v>15000</v>
      </c>
      <c r="Q54" s="300">
        <f>P54</f>
        <v>15000</v>
      </c>
      <c r="R54" s="1110">
        <f>12500+1966</f>
        <v>14466</v>
      </c>
      <c r="S54" s="1110">
        <f>[23]Sheet1!$BD$16</f>
        <v>17604.96</v>
      </c>
      <c r="T54" s="1560">
        <f>12500+1966</f>
        <v>14466</v>
      </c>
    </row>
    <row r="55" spans="1:20" s="62" customFormat="1" ht="16.5" thickBot="1" x14ac:dyDescent="0.35">
      <c r="A55" s="986"/>
      <c r="B55" s="990" t="s">
        <v>67</v>
      </c>
      <c r="C55" s="995" t="s">
        <v>113</v>
      </c>
      <c r="D55" s="433">
        <v>100</v>
      </c>
      <c r="E55" s="433">
        <v>119</v>
      </c>
      <c r="F55" s="345">
        <f t="shared" si="5"/>
        <v>19</v>
      </c>
      <c r="G55" s="433">
        <v>100</v>
      </c>
      <c r="H55" s="1193">
        <f>[22]Sheet1!$BE$16</f>
        <v>148.79999999999998</v>
      </c>
      <c r="I55" s="432">
        <f t="shared" si="8"/>
        <v>-48.799999999999983</v>
      </c>
      <c r="J55" s="1075">
        <f t="shared" si="9"/>
        <v>-0.48799999999999982</v>
      </c>
      <c r="K55" s="1332">
        <v>100</v>
      </c>
      <c r="L55" s="1110">
        <v>77.45</v>
      </c>
      <c r="M55" s="326">
        <f t="shared" si="2"/>
        <v>22.549999999999997</v>
      </c>
      <c r="N55" s="188">
        <v>100</v>
      </c>
      <c r="O55" s="188">
        <v>100</v>
      </c>
      <c r="P55" s="419">
        <f t="shared" si="3"/>
        <v>100</v>
      </c>
      <c r="Q55" s="300">
        <f>P55</f>
        <v>100</v>
      </c>
      <c r="R55" s="1110">
        <v>200</v>
      </c>
      <c r="S55" s="1110">
        <f>[23]Sheet1!$BE$16</f>
        <v>45.15</v>
      </c>
      <c r="T55" s="1560">
        <v>200</v>
      </c>
    </row>
    <row r="56" spans="1:20" s="62" customFormat="1" ht="16.5" thickBot="1" x14ac:dyDescent="0.35">
      <c r="A56" s="986"/>
      <c r="B56" s="990" t="s">
        <v>68</v>
      </c>
      <c r="C56" s="995" t="s">
        <v>114</v>
      </c>
      <c r="D56" s="433">
        <v>500</v>
      </c>
      <c r="E56" s="433"/>
      <c r="F56" s="345">
        <f t="shared" si="5"/>
        <v>-500</v>
      </c>
      <c r="G56" s="433">
        <v>250</v>
      </c>
      <c r="H56" s="1193">
        <f>[22]Sheet1!$BF$16</f>
        <v>247.68</v>
      </c>
      <c r="I56" s="432">
        <f t="shared" si="8"/>
        <v>2.3199999999999932</v>
      </c>
      <c r="J56" s="1075">
        <f t="shared" si="9"/>
        <v>9.2799999999999723E-3</v>
      </c>
      <c r="K56" s="1332">
        <v>250</v>
      </c>
      <c r="L56" s="1110">
        <v>100.8</v>
      </c>
      <c r="M56" s="326">
        <f t="shared" si="2"/>
        <v>149.19999999999999</v>
      </c>
      <c r="N56" s="188">
        <v>200</v>
      </c>
      <c r="O56" s="188">
        <v>200</v>
      </c>
      <c r="P56" s="419">
        <f t="shared" si="3"/>
        <v>200</v>
      </c>
      <c r="Q56" s="300">
        <f>P56</f>
        <v>200</v>
      </c>
      <c r="R56" s="1110">
        <v>100</v>
      </c>
      <c r="S56" s="1110"/>
      <c r="T56" s="1560">
        <v>100</v>
      </c>
    </row>
    <row r="57" spans="1:20" s="62" customFormat="1" ht="16.5" hidden="1" thickBot="1" x14ac:dyDescent="0.35">
      <c r="A57" s="986"/>
      <c r="B57" s="990" t="s">
        <v>143</v>
      </c>
      <c r="C57" s="995" t="s">
        <v>111</v>
      </c>
      <c r="D57" s="433"/>
      <c r="E57" s="433"/>
      <c r="F57" s="345">
        <f t="shared" si="5"/>
        <v>0</v>
      </c>
      <c r="G57" s="433"/>
      <c r="H57" s="1193"/>
      <c r="I57" s="432">
        <f t="shared" si="8"/>
        <v>0</v>
      </c>
      <c r="J57" s="1075" t="e">
        <f t="shared" si="9"/>
        <v>#DIV/0!</v>
      </c>
      <c r="K57" s="1332"/>
      <c r="L57" s="1110"/>
      <c r="M57" s="326">
        <f t="shared" si="2"/>
        <v>0</v>
      </c>
      <c r="N57" s="188"/>
      <c r="O57" s="188"/>
      <c r="P57" s="419">
        <f t="shared" si="3"/>
        <v>0</v>
      </c>
      <c r="Q57" s="300"/>
      <c r="R57" s="1110"/>
      <c r="S57" s="1110"/>
      <c r="T57" s="1560"/>
    </row>
    <row r="58" spans="1:20" s="62" customFormat="1" ht="16.5" thickBot="1" x14ac:dyDescent="0.35">
      <c r="A58" s="986"/>
      <c r="B58" s="990" t="s">
        <v>69</v>
      </c>
      <c r="C58" s="995" t="s">
        <v>360</v>
      </c>
      <c r="D58" s="433">
        <v>150</v>
      </c>
      <c r="E58" s="433"/>
      <c r="F58" s="345">
        <f t="shared" si="5"/>
        <v>-150</v>
      </c>
      <c r="G58" s="433">
        <v>150</v>
      </c>
      <c r="H58" s="1193">
        <f>[22]Sheet1!$BH$16</f>
        <v>190.51</v>
      </c>
      <c r="I58" s="432">
        <f t="shared" si="8"/>
        <v>-40.509999999999991</v>
      </c>
      <c r="J58" s="1075">
        <f t="shared" si="9"/>
        <v>-0.27006666666666662</v>
      </c>
      <c r="K58" s="1332">
        <v>150</v>
      </c>
      <c r="L58" s="1110">
        <v>165.13</v>
      </c>
      <c r="M58" s="326">
        <f t="shared" si="2"/>
        <v>-15.129999999999995</v>
      </c>
      <c r="N58" s="188">
        <v>165</v>
      </c>
      <c r="O58" s="188">
        <v>165</v>
      </c>
      <c r="P58" s="419">
        <f t="shared" si="3"/>
        <v>165</v>
      </c>
      <c r="Q58" s="300">
        <f>P58</f>
        <v>165</v>
      </c>
      <c r="R58" s="1110">
        <v>250</v>
      </c>
      <c r="S58" s="1110">
        <f>[23]Sheet1!$BH$16</f>
        <v>891.06000000000006</v>
      </c>
      <c r="T58" s="1560">
        <v>0</v>
      </c>
    </row>
    <row r="59" spans="1:20" s="62" customFormat="1" ht="16.5" hidden="1" thickBot="1" x14ac:dyDescent="0.35">
      <c r="A59" s="986"/>
      <c r="B59" s="990" t="s">
        <v>152</v>
      </c>
      <c r="C59" s="995" t="s">
        <v>160</v>
      </c>
      <c r="D59" s="433"/>
      <c r="E59" s="433"/>
      <c r="F59" s="345">
        <f t="shared" si="5"/>
        <v>0</v>
      </c>
      <c r="G59" s="433"/>
      <c r="H59" s="1193"/>
      <c r="I59" s="432">
        <f t="shared" si="8"/>
        <v>0</v>
      </c>
      <c r="J59" s="1075" t="e">
        <f t="shared" si="9"/>
        <v>#DIV/0!</v>
      </c>
      <c r="K59" s="1332"/>
      <c r="L59" s="1110"/>
      <c r="M59" s="326">
        <f t="shared" si="2"/>
        <v>0</v>
      </c>
      <c r="N59" s="188"/>
      <c r="O59" s="188"/>
      <c r="P59" s="419">
        <f t="shared" si="3"/>
        <v>0</v>
      </c>
      <c r="Q59" s="300"/>
      <c r="R59" s="1110"/>
      <c r="S59" s="1110"/>
      <c r="T59" s="1560"/>
    </row>
    <row r="60" spans="1:20" s="62" customFormat="1" ht="16.5" thickBot="1" x14ac:dyDescent="0.35">
      <c r="A60" s="986"/>
      <c r="B60" s="990" t="s">
        <v>152</v>
      </c>
      <c r="C60" s="995" t="s">
        <v>160</v>
      </c>
      <c r="D60" s="433">
        <v>1000</v>
      </c>
      <c r="E60" s="433"/>
      <c r="F60" s="345">
        <f t="shared" si="5"/>
        <v>-1000</v>
      </c>
      <c r="G60" s="433">
        <v>1000</v>
      </c>
      <c r="H60" s="1193"/>
      <c r="I60" s="432">
        <f t="shared" si="8"/>
        <v>1000</v>
      </c>
      <c r="J60" s="1075">
        <f t="shared" si="9"/>
        <v>1</v>
      </c>
      <c r="K60" s="1332">
        <v>1000</v>
      </c>
      <c r="L60" s="1110"/>
      <c r="M60" s="326">
        <f t="shared" si="2"/>
        <v>1000</v>
      </c>
      <c r="N60" s="188">
        <v>1000</v>
      </c>
      <c r="O60" s="188">
        <v>1000</v>
      </c>
      <c r="P60" s="419">
        <f t="shared" si="3"/>
        <v>1000</v>
      </c>
      <c r="Q60" s="300">
        <f>P60</f>
        <v>1000</v>
      </c>
      <c r="R60" s="1110">
        <v>1000</v>
      </c>
      <c r="S60" s="1110"/>
      <c r="T60" s="1560">
        <v>1000</v>
      </c>
    </row>
    <row r="61" spans="1:20" s="62" customFormat="1" ht="16.5" thickBot="1" x14ac:dyDescent="0.35">
      <c r="A61" s="986"/>
      <c r="B61" s="990" t="s">
        <v>70</v>
      </c>
      <c r="C61" s="995" t="s">
        <v>115</v>
      </c>
      <c r="D61" s="433">
        <v>3500</v>
      </c>
      <c r="E61" s="433">
        <v>1875.75</v>
      </c>
      <c r="F61" s="345">
        <f t="shared" si="5"/>
        <v>-1624.25</v>
      </c>
      <c r="G61" s="433">
        <v>3000</v>
      </c>
      <c r="H61" s="1193">
        <f>[22]Sheet1!$BJ$16</f>
        <v>6804.9600000000009</v>
      </c>
      <c r="I61" s="432">
        <f t="shared" si="8"/>
        <v>-3804.9600000000009</v>
      </c>
      <c r="J61" s="1075">
        <f t="shared" si="9"/>
        <v>-1.2683200000000003</v>
      </c>
      <c r="K61" s="1332">
        <v>3000</v>
      </c>
      <c r="L61" s="1110">
        <v>2420.84</v>
      </c>
      <c r="M61" s="326">
        <f t="shared" si="2"/>
        <v>579.15999999999985</v>
      </c>
      <c r="N61" s="188">
        <v>3000</v>
      </c>
      <c r="O61" s="188">
        <v>3000</v>
      </c>
      <c r="P61" s="419">
        <f t="shared" si="3"/>
        <v>3000</v>
      </c>
      <c r="Q61" s="300">
        <f>P61</f>
        <v>3000</v>
      </c>
      <c r="R61" s="1110">
        <v>3000</v>
      </c>
      <c r="S61" s="1110">
        <f>[23]Sheet1!$BJ$16</f>
        <v>1740.04</v>
      </c>
      <c r="T61" s="1560">
        <v>3000</v>
      </c>
    </row>
    <row r="62" spans="1:20" s="62" customFormat="1" ht="16.5" thickBot="1" x14ac:dyDescent="0.35">
      <c r="A62" s="986"/>
      <c r="B62" s="990" t="s">
        <v>71</v>
      </c>
      <c r="C62" s="995" t="s">
        <v>116</v>
      </c>
      <c r="D62" s="433">
        <v>5000</v>
      </c>
      <c r="E62" s="433">
        <v>3932</v>
      </c>
      <c r="F62" s="345">
        <f t="shared" si="5"/>
        <v>-1068</v>
      </c>
      <c r="G62" s="433">
        <v>5000</v>
      </c>
      <c r="H62" s="1193">
        <f>[22]Sheet1!$BK$16</f>
        <v>4566.3</v>
      </c>
      <c r="I62" s="432">
        <f t="shared" si="8"/>
        <v>433.69999999999982</v>
      </c>
      <c r="J62" s="1075">
        <f t="shared" si="9"/>
        <v>8.673999999999997E-2</v>
      </c>
      <c r="K62" s="1332">
        <v>5000</v>
      </c>
      <c r="L62" s="1110">
        <v>4125</v>
      </c>
      <c r="M62" s="326">
        <f t="shared" si="2"/>
        <v>875</v>
      </c>
      <c r="N62" s="188">
        <v>5000</v>
      </c>
      <c r="O62" s="188">
        <v>5000</v>
      </c>
      <c r="P62" s="419">
        <f t="shared" si="3"/>
        <v>5000</v>
      </c>
      <c r="Q62" s="300">
        <f>P62</f>
        <v>5000</v>
      </c>
      <c r="R62" s="1110">
        <v>5000</v>
      </c>
      <c r="S62" s="1110">
        <f>[23]Sheet1!$BK$16</f>
        <v>1690</v>
      </c>
      <c r="T62" s="1560">
        <v>5000</v>
      </c>
    </row>
    <row r="63" spans="1:20" s="62" customFormat="1" ht="16.5" thickBot="1" x14ac:dyDescent="0.35">
      <c r="A63" s="986"/>
      <c r="B63" s="991">
        <v>269</v>
      </c>
      <c r="C63" s="995" t="s">
        <v>653</v>
      </c>
      <c r="D63" s="433">
        <v>250</v>
      </c>
      <c r="E63" s="433"/>
      <c r="F63" s="345">
        <f t="shared" si="5"/>
        <v>-250</v>
      </c>
      <c r="G63" s="433">
        <v>250</v>
      </c>
      <c r="H63" s="1193">
        <f>[22]Sheet1!$BL$16</f>
        <v>57.5</v>
      </c>
      <c r="I63" s="432">
        <f t="shared" si="8"/>
        <v>192.5</v>
      </c>
      <c r="J63" s="1075">
        <f t="shared" si="9"/>
        <v>0.77</v>
      </c>
      <c r="K63" s="1332">
        <v>250</v>
      </c>
      <c r="L63" s="1110">
        <v>1392.93</v>
      </c>
      <c r="M63" s="326">
        <f t="shared" si="2"/>
        <v>-1142.93</v>
      </c>
      <c r="N63" s="188">
        <v>250</v>
      </c>
      <c r="O63" s="188">
        <v>250</v>
      </c>
      <c r="P63" s="419">
        <f t="shared" si="3"/>
        <v>250</v>
      </c>
      <c r="Q63" s="300">
        <f>P63</f>
        <v>250</v>
      </c>
      <c r="R63" s="1110">
        <v>250</v>
      </c>
      <c r="S63" s="1110"/>
      <c r="T63" s="1560">
        <v>250</v>
      </c>
    </row>
    <row r="64" spans="1:20" s="62" customFormat="1" ht="16.5" thickBot="1" x14ac:dyDescent="0.35">
      <c r="A64" s="986"/>
      <c r="B64" s="990" t="s">
        <v>317</v>
      </c>
      <c r="C64" s="995" t="s">
        <v>351</v>
      </c>
      <c r="D64" s="433"/>
      <c r="E64" s="433"/>
      <c r="F64" s="345">
        <f t="shared" si="5"/>
        <v>0</v>
      </c>
      <c r="G64" s="433"/>
      <c r="H64" s="1193"/>
      <c r="I64" s="432">
        <f t="shared" si="8"/>
        <v>0</v>
      </c>
      <c r="J64" s="1075"/>
      <c r="K64" s="1332"/>
      <c r="L64" s="1110"/>
      <c r="M64" s="326">
        <f t="shared" si="2"/>
        <v>0</v>
      </c>
      <c r="N64" s="188"/>
      <c r="O64" s="397"/>
      <c r="P64" s="419">
        <f t="shared" si="3"/>
        <v>0</v>
      </c>
      <c r="Q64" s="300"/>
      <c r="R64" s="1110"/>
      <c r="S64" s="1110"/>
      <c r="T64" s="1560"/>
    </row>
    <row r="65" spans="1:20" s="62" customFormat="1" ht="16.5" thickBot="1" x14ac:dyDescent="0.35">
      <c r="A65" s="986"/>
      <c r="B65" s="990" t="s">
        <v>319</v>
      </c>
      <c r="C65" s="995" t="s">
        <v>832</v>
      </c>
      <c r="D65" s="433">
        <v>25000</v>
      </c>
      <c r="E65" s="433">
        <v>31984.5</v>
      </c>
      <c r="F65" s="345">
        <f t="shared" si="5"/>
        <v>6984.5</v>
      </c>
      <c r="G65" s="433">
        <f>31885+7508</f>
        <v>39393</v>
      </c>
      <c r="H65" s="1193">
        <f>[22]Sheet1!$BP$6+[22]Sheet1!$BP$7</f>
        <v>43716.1</v>
      </c>
      <c r="I65" s="432">
        <f t="shared" si="8"/>
        <v>-4323.0999999999985</v>
      </c>
      <c r="J65" s="1075">
        <f>I65/G65</f>
        <v>-0.10974284771406084</v>
      </c>
      <c r="K65" s="1332">
        <f>31885+7508</f>
        <v>39393</v>
      </c>
      <c r="L65" s="1110"/>
      <c r="M65" s="326">
        <f t="shared" si="2"/>
        <v>39393</v>
      </c>
      <c r="N65" s="188"/>
      <c r="O65" s="397">
        <v>35000</v>
      </c>
      <c r="P65" s="419">
        <f t="shared" si="3"/>
        <v>35000</v>
      </c>
      <c r="Q65" s="300">
        <f>P65</f>
        <v>35000</v>
      </c>
      <c r="R65" s="1110">
        <f>35000+5000</f>
        <v>40000</v>
      </c>
      <c r="S65" s="1110"/>
      <c r="T65" s="1560">
        <f>35000+5000</f>
        <v>40000</v>
      </c>
    </row>
    <row r="66" spans="1:20" s="62" customFormat="1" ht="16.5" thickBot="1" x14ac:dyDescent="0.35">
      <c r="A66" s="986"/>
      <c r="B66" s="990" t="s">
        <v>73</v>
      </c>
      <c r="C66" s="995" t="s">
        <v>350</v>
      </c>
      <c r="D66" s="433"/>
      <c r="E66" s="433"/>
      <c r="F66" s="345">
        <f t="shared" si="5"/>
        <v>0</v>
      </c>
      <c r="G66" s="433"/>
      <c r="H66" s="1193"/>
      <c r="I66" s="432">
        <f t="shared" si="8"/>
        <v>0</v>
      </c>
      <c r="J66" s="1075"/>
      <c r="K66" s="1332"/>
      <c r="L66" s="1110"/>
      <c r="M66" s="326">
        <f t="shared" si="2"/>
        <v>0</v>
      </c>
      <c r="N66" s="188"/>
      <c r="O66" s="397"/>
      <c r="P66" s="419">
        <f t="shared" si="3"/>
        <v>0</v>
      </c>
      <c r="Q66" s="300"/>
      <c r="R66" s="1110"/>
      <c r="S66" s="1110">
        <f>[23]Sheet1!$BO$16</f>
        <v>50</v>
      </c>
      <c r="T66" s="1560"/>
    </row>
    <row r="67" spans="1:20" s="62" customFormat="1" ht="16.5" thickBot="1" x14ac:dyDescent="0.35">
      <c r="A67" s="986"/>
      <c r="B67" s="990" t="s">
        <v>205</v>
      </c>
      <c r="C67" s="995" t="s">
        <v>321</v>
      </c>
      <c r="D67" s="433">
        <v>41780</v>
      </c>
      <c r="E67" s="433">
        <v>41780</v>
      </c>
      <c r="F67" s="345">
        <f t="shared" si="5"/>
        <v>0</v>
      </c>
      <c r="G67" s="433">
        <v>36209</v>
      </c>
      <c r="H67" s="1193">
        <f>'[24]BUDGET 2018'!$BP$16-H65</f>
        <v>-43716.1</v>
      </c>
      <c r="I67" s="432">
        <f t="shared" si="8"/>
        <v>79925.100000000006</v>
      </c>
      <c r="J67" s="1075">
        <f t="shared" ref="J67:J72" si="10">I67/G67</f>
        <v>2.2073269076748878</v>
      </c>
      <c r="K67" s="1332">
        <v>36209</v>
      </c>
      <c r="L67" s="1110">
        <v>64316.800000000003</v>
      </c>
      <c r="M67" s="326">
        <f t="shared" si="2"/>
        <v>-28107.800000000003</v>
      </c>
      <c r="N67" s="188">
        <v>70000</v>
      </c>
      <c r="O67" s="188">
        <v>70000</v>
      </c>
      <c r="P67" s="419">
        <f t="shared" si="3"/>
        <v>70000</v>
      </c>
      <c r="Q67" s="300">
        <f>P67</f>
        <v>70000</v>
      </c>
      <c r="R67" s="1110">
        <v>37000</v>
      </c>
      <c r="S67" s="1110">
        <f>[23]Sheet1!$BP$16</f>
        <v>65959.429999999993</v>
      </c>
      <c r="T67" s="1560">
        <v>37000</v>
      </c>
    </row>
    <row r="68" spans="1:20" s="62" customFormat="1" ht="16.5" hidden="1" thickBot="1" x14ac:dyDescent="0.35">
      <c r="A68" s="986"/>
      <c r="B68" s="990" t="s">
        <v>171</v>
      </c>
      <c r="C68" s="995" t="s">
        <v>161</v>
      </c>
      <c r="D68" s="433"/>
      <c r="E68" s="433"/>
      <c r="F68" s="345">
        <f t="shared" si="5"/>
        <v>0</v>
      </c>
      <c r="G68" s="433"/>
      <c r="H68" s="1193"/>
      <c r="I68" s="432">
        <f t="shared" si="8"/>
        <v>0</v>
      </c>
      <c r="J68" s="1075" t="e">
        <f t="shared" si="10"/>
        <v>#DIV/0!</v>
      </c>
      <c r="K68" s="1332"/>
      <c r="L68" s="1110"/>
      <c r="M68" s="326">
        <f t="shared" si="2"/>
        <v>0</v>
      </c>
      <c r="N68" s="188"/>
      <c r="O68" s="188"/>
      <c r="P68" s="419">
        <f t="shared" si="3"/>
        <v>0</v>
      </c>
      <c r="Q68" s="300"/>
      <c r="R68" s="1110"/>
      <c r="S68" s="1110"/>
      <c r="T68" s="1560"/>
    </row>
    <row r="69" spans="1:20" s="62" customFormat="1" ht="16.5" thickBot="1" x14ac:dyDescent="0.35">
      <c r="A69" s="986"/>
      <c r="B69" s="990" t="s">
        <v>81</v>
      </c>
      <c r="C69" s="995" t="s">
        <v>139</v>
      </c>
      <c r="D69" s="433">
        <v>100</v>
      </c>
      <c r="E69" s="433"/>
      <c r="F69" s="345">
        <f t="shared" si="5"/>
        <v>-100</v>
      </c>
      <c r="G69" s="433">
        <v>100</v>
      </c>
      <c r="H69" s="1193">
        <f>[22]Sheet1!$BR$16</f>
        <v>108.75</v>
      </c>
      <c r="I69" s="432">
        <f t="shared" si="8"/>
        <v>-8.75</v>
      </c>
      <c r="J69" s="1075">
        <f t="shared" si="10"/>
        <v>-8.7499999999999994E-2</v>
      </c>
      <c r="K69" s="1332">
        <v>100</v>
      </c>
      <c r="L69" s="1110">
        <v>24.25</v>
      </c>
      <c r="M69" s="326">
        <f t="shared" si="2"/>
        <v>75.75</v>
      </c>
      <c r="N69" s="188">
        <v>100</v>
      </c>
      <c r="O69" s="188">
        <v>100</v>
      </c>
      <c r="P69" s="419">
        <f t="shared" si="3"/>
        <v>100</v>
      </c>
      <c r="Q69" s="300">
        <f>P69</f>
        <v>100</v>
      </c>
      <c r="R69" s="1110">
        <v>100</v>
      </c>
      <c r="S69" s="1110">
        <f>[23]Sheet1!$BQ$16</f>
        <v>72.75</v>
      </c>
      <c r="T69" s="1560">
        <v>100</v>
      </c>
    </row>
    <row r="70" spans="1:20" s="62" customFormat="1" ht="16.5" hidden="1" thickBot="1" x14ac:dyDescent="0.35">
      <c r="A70" s="986"/>
      <c r="B70" s="990" t="s">
        <v>123</v>
      </c>
      <c r="C70" s="995" t="s">
        <v>120</v>
      </c>
      <c r="D70" s="433"/>
      <c r="E70" s="433"/>
      <c r="F70" s="345">
        <f t="shared" si="5"/>
        <v>0</v>
      </c>
      <c r="G70" s="433"/>
      <c r="H70" s="1193"/>
      <c r="I70" s="432">
        <f t="shared" si="8"/>
        <v>0</v>
      </c>
      <c r="J70" s="1075" t="e">
        <f t="shared" si="10"/>
        <v>#DIV/0!</v>
      </c>
      <c r="K70" s="1332"/>
      <c r="L70" s="1110"/>
      <c r="M70" s="326">
        <f t="shared" si="2"/>
        <v>0</v>
      </c>
      <c r="N70" s="188"/>
      <c r="O70" s="188"/>
      <c r="P70" s="419">
        <f t="shared" si="3"/>
        <v>0</v>
      </c>
      <c r="Q70" s="300"/>
      <c r="R70" s="1110"/>
      <c r="S70" s="1110"/>
      <c r="T70" s="1560"/>
    </row>
    <row r="71" spans="1:20" s="62" customFormat="1" ht="16.5" thickBot="1" x14ac:dyDescent="0.35">
      <c r="A71" s="986"/>
      <c r="B71" s="990" t="s">
        <v>123</v>
      </c>
      <c r="C71" s="995" t="s">
        <v>603</v>
      </c>
      <c r="D71" s="433">
        <v>250</v>
      </c>
      <c r="E71" s="433"/>
      <c r="F71" s="345">
        <f t="shared" si="5"/>
        <v>-250</v>
      </c>
      <c r="G71" s="433">
        <v>250</v>
      </c>
      <c r="H71" s="1193">
        <f>[22]Sheet1!$BS$16</f>
        <v>2353.2200000000003</v>
      </c>
      <c r="I71" s="432">
        <f t="shared" ref="I71:I81" si="11">G71-H71</f>
        <v>-2103.2200000000003</v>
      </c>
      <c r="J71" s="1075">
        <f t="shared" si="10"/>
        <v>-8.4128800000000012</v>
      </c>
      <c r="K71" s="1332">
        <v>250</v>
      </c>
      <c r="L71" s="1110"/>
      <c r="M71" s="326">
        <f t="shared" ref="M71:M81" si="12">K71-L71</f>
        <v>250</v>
      </c>
      <c r="N71" s="188">
        <v>250</v>
      </c>
      <c r="O71" s="188">
        <v>250</v>
      </c>
      <c r="P71" s="419">
        <f t="shared" ref="P71:P81" si="13">O71</f>
        <v>250</v>
      </c>
      <c r="Q71" s="300">
        <f>P71</f>
        <v>250</v>
      </c>
      <c r="R71" s="1110">
        <v>250</v>
      </c>
      <c r="S71" s="1110">
        <f>[23]Sheet1!$BR$16</f>
        <v>1524.45</v>
      </c>
      <c r="T71" s="1560">
        <v>250</v>
      </c>
    </row>
    <row r="72" spans="1:20" s="62" customFormat="1" ht="16.5" thickBot="1" x14ac:dyDescent="0.35">
      <c r="A72" s="986"/>
      <c r="B72" s="990" t="s">
        <v>74</v>
      </c>
      <c r="C72" s="995" t="s">
        <v>162</v>
      </c>
      <c r="D72" s="433">
        <v>7500</v>
      </c>
      <c r="E72" s="433">
        <v>6902.41</v>
      </c>
      <c r="F72" s="345">
        <f t="shared" ref="F72:F81" si="14">E72-D72</f>
        <v>-597.59000000000015</v>
      </c>
      <c r="G72" s="433">
        <v>5342</v>
      </c>
      <c r="H72" s="1193">
        <f>[22]Sheet1!$BT$16</f>
        <v>10825.64</v>
      </c>
      <c r="I72" s="432">
        <f t="shared" si="11"/>
        <v>-5483.6399999999994</v>
      </c>
      <c r="J72" s="1075">
        <f t="shared" si="10"/>
        <v>-1.0265144140771245</v>
      </c>
      <c r="K72" s="1332">
        <v>5342</v>
      </c>
      <c r="L72" s="1110">
        <v>5422.91</v>
      </c>
      <c r="M72" s="326">
        <f t="shared" si="12"/>
        <v>-80.909999999999854</v>
      </c>
      <c r="N72" s="188">
        <v>5342</v>
      </c>
      <c r="O72" s="188">
        <v>5342</v>
      </c>
      <c r="P72" s="419">
        <f t="shared" si="13"/>
        <v>5342</v>
      </c>
      <c r="Q72" s="300">
        <f>P72</f>
        <v>5342</v>
      </c>
      <c r="R72" s="1110">
        <v>2500</v>
      </c>
      <c r="S72" s="1110">
        <f>[23]Sheet1!$BT$16</f>
        <v>19021.89</v>
      </c>
      <c r="T72" s="1560">
        <v>2500</v>
      </c>
    </row>
    <row r="73" spans="1:20" s="62" customFormat="1" ht="16.5" thickBot="1" x14ac:dyDescent="0.35">
      <c r="A73" s="986"/>
      <c r="B73" s="990" t="s">
        <v>601</v>
      </c>
      <c r="C73" s="995" t="s">
        <v>602</v>
      </c>
      <c r="D73" s="433"/>
      <c r="E73" s="433"/>
      <c r="F73" s="345">
        <f t="shared" si="14"/>
        <v>0</v>
      </c>
      <c r="G73" s="433"/>
      <c r="H73" s="1193"/>
      <c r="I73" s="432">
        <f t="shared" si="11"/>
        <v>0</v>
      </c>
      <c r="J73" s="1075"/>
      <c r="K73" s="1332"/>
      <c r="L73" s="1110"/>
      <c r="M73" s="326">
        <f t="shared" si="12"/>
        <v>0</v>
      </c>
      <c r="N73" s="188"/>
      <c r="O73" s="397"/>
      <c r="P73" s="419">
        <f t="shared" si="13"/>
        <v>0</v>
      </c>
      <c r="Q73" s="300"/>
      <c r="R73" s="1110"/>
      <c r="S73" s="1110"/>
      <c r="T73" s="1560"/>
    </row>
    <row r="74" spans="1:20" s="62" customFormat="1" ht="16.5" thickBot="1" x14ac:dyDescent="0.35">
      <c r="A74" s="986"/>
      <c r="B74" s="990" t="s">
        <v>206</v>
      </c>
      <c r="C74" s="995" t="s">
        <v>163</v>
      </c>
      <c r="D74" s="433"/>
      <c r="E74" s="433"/>
      <c r="F74" s="345">
        <f t="shared" si="14"/>
        <v>0</v>
      </c>
      <c r="G74" s="433">
        <v>40000</v>
      </c>
      <c r="H74" s="1193">
        <f>'[24]BUDGET 2018'!$BZ$16</f>
        <v>0</v>
      </c>
      <c r="I74" s="432">
        <f t="shared" si="11"/>
        <v>40000</v>
      </c>
      <c r="J74" s="1075">
        <f>I74/G74</f>
        <v>1</v>
      </c>
      <c r="K74" s="1332">
        <f>40000-10142</f>
        <v>29858</v>
      </c>
      <c r="L74" s="1110">
        <v>28421</v>
      </c>
      <c r="M74" s="326">
        <f t="shared" si="12"/>
        <v>1437</v>
      </c>
      <c r="N74" s="188">
        <v>29000</v>
      </c>
      <c r="O74" s="397">
        <v>10000</v>
      </c>
      <c r="P74" s="419">
        <f t="shared" si="13"/>
        <v>10000</v>
      </c>
      <c r="Q74" s="300">
        <f>P74</f>
        <v>10000</v>
      </c>
      <c r="R74" s="1110">
        <f>10000+10000</f>
        <v>20000</v>
      </c>
      <c r="S74" s="1110"/>
      <c r="T74" s="1560">
        <f>10000+10000</f>
        <v>20000</v>
      </c>
    </row>
    <row r="75" spans="1:20" s="62" customFormat="1" ht="16.5" thickBot="1" x14ac:dyDescent="0.35">
      <c r="A75" s="986"/>
      <c r="B75" s="990" t="s">
        <v>294</v>
      </c>
      <c r="C75" s="995" t="s">
        <v>164</v>
      </c>
      <c r="D75" s="433"/>
      <c r="E75" s="433"/>
      <c r="F75" s="345">
        <f t="shared" si="14"/>
        <v>0</v>
      </c>
      <c r="G75" s="433"/>
      <c r="H75" s="1193"/>
      <c r="I75" s="432">
        <f t="shared" si="11"/>
        <v>0</v>
      </c>
      <c r="J75" s="1075"/>
      <c r="K75" s="1332"/>
      <c r="L75" s="1110"/>
      <c r="M75" s="326">
        <f t="shared" si="12"/>
        <v>0</v>
      </c>
      <c r="N75" s="188"/>
      <c r="O75" s="397"/>
      <c r="P75" s="419">
        <v>30000</v>
      </c>
      <c r="Q75" s="300">
        <f>P75</f>
        <v>30000</v>
      </c>
      <c r="R75" s="1110">
        <f>10000+10000</f>
        <v>20000</v>
      </c>
      <c r="S75" s="1110">
        <f>[23]Sheet1!$BX$16+[23]Sheet1!$BY$16</f>
        <v>926646.79</v>
      </c>
      <c r="T75" s="1560">
        <f>10000+10000+20000+14082.12</f>
        <v>54082.12</v>
      </c>
    </row>
    <row r="76" spans="1:20" s="62" customFormat="1" ht="16.5" hidden="1" thickBot="1" x14ac:dyDescent="0.35">
      <c r="A76" s="986"/>
      <c r="B76" s="990" t="s">
        <v>295</v>
      </c>
      <c r="C76" s="995" t="s">
        <v>165</v>
      </c>
      <c r="D76" s="433"/>
      <c r="E76" s="433"/>
      <c r="F76" s="345">
        <f t="shared" si="14"/>
        <v>0</v>
      </c>
      <c r="G76" s="433"/>
      <c r="H76" s="1193"/>
      <c r="I76" s="432">
        <f t="shared" si="11"/>
        <v>0</v>
      </c>
      <c r="J76" s="1075" t="e">
        <f>I76/G76</f>
        <v>#DIV/0!</v>
      </c>
      <c r="K76" s="1332"/>
      <c r="L76" s="1110"/>
      <c r="M76" s="326">
        <f t="shared" si="12"/>
        <v>0</v>
      </c>
      <c r="N76" s="188"/>
      <c r="O76" s="397"/>
      <c r="P76" s="419">
        <f t="shared" si="13"/>
        <v>0</v>
      </c>
      <c r="Q76" s="300"/>
      <c r="R76" s="1110"/>
      <c r="S76" s="1110"/>
      <c r="T76" s="1560"/>
    </row>
    <row r="77" spans="1:20" s="62" customFormat="1" ht="16.5" thickBot="1" x14ac:dyDescent="0.35">
      <c r="A77" s="986"/>
      <c r="B77" s="990" t="s">
        <v>296</v>
      </c>
      <c r="C77" s="995" t="s">
        <v>173</v>
      </c>
      <c r="D77" s="433">
        <v>40000</v>
      </c>
      <c r="E77" s="433">
        <v>931</v>
      </c>
      <c r="F77" s="345">
        <f t="shared" si="14"/>
        <v>-39069</v>
      </c>
      <c r="G77" s="433">
        <v>175270</v>
      </c>
      <c r="H77" s="1193">
        <f>'[24]BUDGET 2018'!$CC$16</f>
        <v>0</v>
      </c>
      <c r="I77" s="432">
        <f t="shared" si="11"/>
        <v>175270</v>
      </c>
      <c r="J77" s="1075">
        <f>I77/G77</f>
        <v>1</v>
      </c>
      <c r="K77" s="1332">
        <v>200000</v>
      </c>
      <c r="L77" s="1110"/>
      <c r="M77" s="326">
        <f t="shared" si="12"/>
        <v>200000</v>
      </c>
      <c r="N77" s="188">
        <v>200000</v>
      </c>
      <c r="O77" s="397">
        <v>150000</v>
      </c>
      <c r="P77" s="419">
        <f t="shared" si="13"/>
        <v>150000</v>
      </c>
      <c r="Q77" s="300">
        <f>P77</f>
        <v>150000</v>
      </c>
      <c r="R77" s="1110">
        <v>75000</v>
      </c>
      <c r="S77" s="1110"/>
      <c r="T77" s="1560">
        <v>75000</v>
      </c>
    </row>
    <row r="78" spans="1:20" s="62" customFormat="1" ht="16.5" hidden="1" thickBot="1" x14ac:dyDescent="0.35">
      <c r="A78" s="986"/>
      <c r="B78" s="990" t="s">
        <v>297</v>
      </c>
      <c r="C78" s="995" t="s">
        <v>195</v>
      </c>
      <c r="D78" s="433"/>
      <c r="E78" s="433"/>
      <c r="F78" s="345">
        <f t="shared" si="14"/>
        <v>0</v>
      </c>
      <c r="G78" s="433"/>
      <c r="H78" s="1193"/>
      <c r="I78" s="432">
        <f t="shared" si="11"/>
        <v>0</v>
      </c>
      <c r="J78" s="1075" t="e">
        <f>I78/G78</f>
        <v>#DIV/0!</v>
      </c>
      <c r="K78" s="1332"/>
      <c r="L78" s="1110"/>
      <c r="M78" s="326">
        <f t="shared" si="12"/>
        <v>0</v>
      </c>
      <c r="N78" s="188"/>
      <c r="O78" s="397"/>
      <c r="P78" s="419">
        <f t="shared" si="13"/>
        <v>0</v>
      </c>
      <c r="Q78" s="300"/>
      <c r="R78" s="1110"/>
      <c r="S78" s="1535"/>
      <c r="T78" s="1758"/>
    </row>
    <row r="79" spans="1:20" s="62" customFormat="1" ht="16.5" thickBot="1" x14ac:dyDescent="0.35">
      <c r="A79" s="986"/>
      <c r="B79" s="990" t="s">
        <v>141</v>
      </c>
      <c r="C79" s="995" t="s">
        <v>136</v>
      </c>
      <c r="D79" s="433">
        <v>153580</v>
      </c>
      <c r="E79" s="433">
        <v>169539.46</v>
      </c>
      <c r="F79" s="345">
        <f t="shared" si="14"/>
        <v>15959.459999999992</v>
      </c>
      <c r="G79" s="433">
        <v>131000</v>
      </c>
      <c r="H79" s="1193">
        <f>[22]Sheet1!$CF$16</f>
        <v>125725.81</v>
      </c>
      <c r="I79" s="432">
        <f t="shared" si="11"/>
        <v>5274.1900000000023</v>
      </c>
      <c r="J79" s="1075">
        <f>I79/G79</f>
        <v>4.0260992366412229E-2</v>
      </c>
      <c r="K79" s="1332">
        <v>83501</v>
      </c>
      <c r="L79" s="1110">
        <v>83513.48</v>
      </c>
      <c r="M79" s="326">
        <f t="shared" si="12"/>
        <v>-12.479999999995925</v>
      </c>
      <c r="N79" s="188"/>
      <c r="O79" s="397"/>
      <c r="P79" s="419">
        <f t="shared" si="13"/>
        <v>0</v>
      </c>
      <c r="Q79" s="300"/>
      <c r="R79" s="1110">
        <v>30000</v>
      </c>
      <c r="S79" s="1535">
        <f>[23]Sheet1!$CF$16+112012.84</f>
        <v>132658.9</v>
      </c>
      <c r="T79" s="1758">
        <f>137971+37692</f>
        <v>175663</v>
      </c>
    </row>
    <row r="80" spans="1:20" s="62" customFormat="1" ht="16.5" thickBot="1" x14ac:dyDescent="0.35">
      <c r="A80" s="987"/>
      <c r="B80" s="990"/>
      <c r="C80" s="995" t="s">
        <v>137</v>
      </c>
      <c r="D80" s="433">
        <v>15960</v>
      </c>
      <c r="E80" s="433"/>
      <c r="F80" s="345"/>
      <c r="G80" s="433"/>
      <c r="H80" s="1192">
        <f>[22]Sheet1!$CG$16</f>
        <v>4469.47</v>
      </c>
      <c r="I80" s="432">
        <f t="shared" si="11"/>
        <v>-4469.47</v>
      </c>
      <c r="J80" s="1075"/>
      <c r="K80" s="1332"/>
      <c r="L80" s="1110"/>
      <c r="M80" s="326">
        <f t="shared" si="12"/>
        <v>0</v>
      </c>
      <c r="N80" s="188"/>
      <c r="O80" s="397"/>
      <c r="P80" s="419">
        <f t="shared" si="13"/>
        <v>0</v>
      </c>
      <c r="Q80" s="300"/>
      <c r="R80" s="1110">
        <v>6000</v>
      </c>
      <c r="S80" s="1535">
        <f>[23]Sheet1!$CG$16+43933.06</f>
        <v>51352.36</v>
      </c>
      <c r="T80" s="1758">
        <v>50261</v>
      </c>
    </row>
    <row r="81" spans="1:20" s="62" customFormat="1" ht="16.5" thickBot="1" x14ac:dyDescent="0.35">
      <c r="A81" s="93"/>
      <c r="B81" s="1001">
        <v>660</v>
      </c>
      <c r="C81" s="1002" t="s">
        <v>656</v>
      </c>
      <c r="D81" s="1003">
        <v>1000</v>
      </c>
      <c r="E81" s="1003"/>
      <c r="F81" s="345">
        <f t="shared" si="14"/>
        <v>-1000</v>
      </c>
      <c r="G81" s="1003">
        <v>3000</v>
      </c>
      <c r="H81" s="1194">
        <f>'[24]BUDGET 2018'!$CI$16</f>
        <v>0</v>
      </c>
      <c r="I81" s="432">
        <f t="shared" si="11"/>
        <v>3000</v>
      </c>
      <c r="J81" s="1075">
        <f>I81/G81</f>
        <v>1</v>
      </c>
      <c r="K81" s="1333">
        <v>3000</v>
      </c>
      <c r="L81" s="1450">
        <v>1250</v>
      </c>
      <c r="M81" s="326">
        <f t="shared" si="12"/>
        <v>1750</v>
      </c>
      <c r="N81" s="1451">
        <v>1250</v>
      </c>
      <c r="O81" s="1513">
        <v>1250</v>
      </c>
      <c r="P81" s="419">
        <f t="shared" si="13"/>
        <v>1250</v>
      </c>
      <c r="Q81" s="1465">
        <f>P81</f>
        <v>1250</v>
      </c>
      <c r="R81" s="1430">
        <v>1250</v>
      </c>
      <c r="S81" s="1537"/>
      <c r="T81" s="1759">
        <v>1500</v>
      </c>
    </row>
    <row r="82" spans="1:20" ht="23.25" thickBot="1" x14ac:dyDescent="0.45">
      <c r="A82" s="219"/>
      <c r="B82" s="260"/>
      <c r="C82" s="261" t="s">
        <v>75</v>
      </c>
      <c r="D82" s="437">
        <f>SUM(D5:D81)</f>
        <v>1882515</v>
      </c>
      <c r="E82" s="437">
        <f>SUM(E5:E81)</f>
        <v>1659154.1699999997</v>
      </c>
      <c r="F82" s="917"/>
      <c r="G82" s="437">
        <f>SUM(G5:G81)</f>
        <v>2097293</v>
      </c>
      <c r="H82" s="437">
        <f t="shared" ref="H82:T82" si="15">SUM(H5:H81)</f>
        <v>1747521.4500000002</v>
      </c>
      <c r="I82" s="437">
        <f t="shared" si="15"/>
        <v>349771.55000000005</v>
      </c>
      <c r="J82" s="1196">
        <f t="shared" ref="J82:J91" si="16">H82/G82</f>
        <v>0.83322714089066252</v>
      </c>
      <c r="K82" s="1334">
        <f t="shared" si="15"/>
        <v>2064382</v>
      </c>
      <c r="L82" s="1334">
        <f t="shared" si="15"/>
        <v>1565324.7900000003</v>
      </c>
      <c r="M82" s="1334">
        <f t="shared" si="15"/>
        <v>499057.21</v>
      </c>
      <c r="N82" s="1334">
        <f t="shared" si="15"/>
        <v>2442859</v>
      </c>
      <c r="O82" s="1334">
        <f t="shared" si="15"/>
        <v>2033188</v>
      </c>
      <c r="P82" s="1334">
        <f t="shared" si="15"/>
        <v>2033188</v>
      </c>
      <c r="Q82" s="1334">
        <f t="shared" si="15"/>
        <v>2033188</v>
      </c>
      <c r="R82" s="1751">
        <f t="shared" si="15"/>
        <v>2120468</v>
      </c>
      <c r="S82" s="1751">
        <f t="shared" si="15"/>
        <v>3556038.5969999996</v>
      </c>
      <c r="T82" s="1760">
        <f t="shared" si="15"/>
        <v>2536609.5</v>
      </c>
    </row>
    <row r="83" spans="1:20" ht="16.5" hidden="1" thickBot="1" x14ac:dyDescent="0.35">
      <c r="B83" s="30" t="s">
        <v>294</v>
      </c>
      <c r="C83" s="29" t="s">
        <v>164</v>
      </c>
      <c r="J83" s="144" t="e">
        <f t="shared" si="16"/>
        <v>#DIV/0!</v>
      </c>
      <c r="L83" s="1466"/>
      <c r="M83" s="1467"/>
      <c r="N83" s="1467"/>
      <c r="O83" s="1514"/>
      <c r="P83" s="1514"/>
      <c r="Q83" s="1468"/>
      <c r="T83" s="1711"/>
    </row>
    <row r="84" spans="1:20" ht="16.5" hidden="1" thickBot="1" x14ac:dyDescent="0.35">
      <c r="B84" s="30" t="s">
        <v>296</v>
      </c>
      <c r="C84" s="31" t="s">
        <v>173</v>
      </c>
      <c r="J84" s="144" t="e">
        <f t="shared" si="16"/>
        <v>#DIV/0!</v>
      </c>
      <c r="L84" s="333"/>
      <c r="M84" s="185"/>
      <c r="N84" s="185"/>
      <c r="O84" s="335"/>
      <c r="P84" s="335"/>
      <c r="Q84" s="303"/>
      <c r="T84" s="1711"/>
    </row>
    <row r="85" spans="1:20" ht="15.75" hidden="1" thickBot="1" x14ac:dyDescent="0.3">
      <c r="J85" s="144" t="e">
        <f t="shared" si="16"/>
        <v>#DIV/0!</v>
      </c>
      <c r="L85" s="333"/>
      <c r="M85" s="185"/>
      <c r="N85" s="185"/>
      <c r="O85" s="335"/>
      <c r="P85" s="335"/>
      <c r="Q85" s="303"/>
      <c r="T85" s="1711"/>
    </row>
    <row r="86" spans="1:20" ht="16.5" hidden="1" thickBot="1" x14ac:dyDescent="0.35">
      <c r="C86" s="116" t="s">
        <v>476</v>
      </c>
      <c r="J86" s="144" t="e">
        <f t="shared" si="16"/>
        <v>#DIV/0!</v>
      </c>
      <c r="L86" s="333"/>
      <c r="M86" s="185"/>
      <c r="N86" s="185"/>
      <c r="O86" s="335"/>
      <c r="P86" s="335"/>
      <c r="Q86" s="303"/>
      <c r="T86" s="1711"/>
    </row>
    <row r="87" spans="1:20" ht="16.5" hidden="1" thickBot="1" x14ac:dyDescent="0.35">
      <c r="B87" s="30" t="s">
        <v>149</v>
      </c>
      <c r="C87" s="29" t="s">
        <v>354</v>
      </c>
      <c r="J87" s="144" t="e">
        <f t="shared" si="16"/>
        <v>#DIV/0!</v>
      </c>
      <c r="L87" s="333"/>
      <c r="M87" s="185"/>
      <c r="N87" s="185"/>
      <c r="O87" s="335"/>
      <c r="P87" s="335"/>
      <c r="Q87" s="303"/>
      <c r="T87" s="1711"/>
    </row>
    <row r="88" spans="1:20" ht="16.5" hidden="1" thickBot="1" x14ac:dyDescent="0.35">
      <c r="B88" s="30" t="s">
        <v>54</v>
      </c>
      <c r="C88" s="29" t="s">
        <v>101</v>
      </c>
      <c r="J88" s="144" t="e">
        <f t="shared" si="16"/>
        <v>#DIV/0!</v>
      </c>
      <c r="L88" s="333"/>
      <c r="M88" s="185"/>
      <c r="N88" s="185"/>
      <c r="O88" s="335"/>
      <c r="P88" s="335"/>
      <c r="Q88" s="303"/>
      <c r="T88" s="1711"/>
    </row>
    <row r="89" spans="1:20" ht="18.75" thickBot="1" x14ac:dyDescent="0.4">
      <c r="B89" s="190"/>
      <c r="C89" s="918" t="s">
        <v>959</v>
      </c>
      <c r="G89" s="84">
        <f>189000-95000</f>
        <v>94000</v>
      </c>
      <c r="H89" s="76">
        <v>20000</v>
      </c>
      <c r="I89" s="76">
        <f>G89-H89</f>
        <v>74000</v>
      </c>
      <c r="J89" s="144">
        <f t="shared" si="16"/>
        <v>0.21276595744680851</v>
      </c>
      <c r="K89" s="1338">
        <v>74000</v>
      </c>
      <c r="L89" s="333"/>
      <c r="M89" s="185"/>
      <c r="N89" s="185">
        <v>74000</v>
      </c>
      <c r="O89" s="335">
        <v>74000</v>
      </c>
      <c r="P89" s="335">
        <f>O89</f>
        <v>74000</v>
      </c>
      <c r="Q89" s="303">
        <f>P89</f>
        <v>74000</v>
      </c>
      <c r="R89" s="76">
        <v>74000</v>
      </c>
      <c r="T89" s="1761">
        <v>74000</v>
      </c>
    </row>
    <row r="90" spans="1:20" ht="18.75" thickBot="1" x14ac:dyDescent="0.4">
      <c r="B90" s="190"/>
      <c r="C90" s="918" t="s">
        <v>823</v>
      </c>
      <c r="G90" s="1197">
        <v>90000</v>
      </c>
      <c r="H90" s="146"/>
      <c r="I90" s="146">
        <f>G90-H90</f>
        <v>90000</v>
      </c>
      <c r="J90" s="147">
        <f t="shared" si="16"/>
        <v>0</v>
      </c>
      <c r="K90" s="158">
        <v>90000</v>
      </c>
      <c r="L90" s="1321"/>
      <c r="M90" s="191"/>
      <c r="N90" s="191">
        <v>90000</v>
      </c>
      <c r="O90" s="1515">
        <v>90000</v>
      </c>
      <c r="P90" s="1515">
        <f>O90</f>
        <v>90000</v>
      </c>
      <c r="Q90" s="1447">
        <f>P90</f>
        <v>90000</v>
      </c>
      <c r="R90" s="76">
        <v>90000</v>
      </c>
      <c r="T90" s="1711">
        <v>50000</v>
      </c>
    </row>
    <row r="91" spans="1:20" ht="19.5" thickBot="1" x14ac:dyDescent="0.35">
      <c r="B91" s="190"/>
      <c r="C91" s="492" t="s">
        <v>804</v>
      </c>
      <c r="G91" s="1059">
        <f>SUM(G82:G90)</f>
        <v>2281293</v>
      </c>
      <c r="H91" s="1059">
        <f>SUM(H82:H90)</f>
        <v>1767521.4500000002</v>
      </c>
      <c r="I91" s="1059">
        <f>G91-H91</f>
        <v>513771.54999999981</v>
      </c>
      <c r="J91" s="1198">
        <f t="shared" si="16"/>
        <v>0.77478931903968506</v>
      </c>
      <c r="K91" s="917">
        <f>SUM(K82:K90)</f>
        <v>2228382</v>
      </c>
      <c r="L91" s="917">
        <f t="shared" ref="L91:T91" si="17">SUM(L82:L90)</f>
        <v>1565324.7900000003</v>
      </c>
      <c r="M91" s="917">
        <f t="shared" si="17"/>
        <v>499057.21</v>
      </c>
      <c r="N91" s="917">
        <f t="shared" si="17"/>
        <v>2606859</v>
      </c>
      <c r="O91" s="917">
        <f t="shared" si="17"/>
        <v>2197188</v>
      </c>
      <c r="P91" s="917">
        <f t="shared" si="17"/>
        <v>2197188</v>
      </c>
      <c r="Q91" s="917">
        <f t="shared" si="17"/>
        <v>2197188</v>
      </c>
      <c r="R91" s="917">
        <f t="shared" si="17"/>
        <v>2284468</v>
      </c>
      <c r="S91" s="917">
        <f t="shared" si="17"/>
        <v>3556038.5969999996</v>
      </c>
      <c r="T91" s="1762">
        <f t="shared" si="17"/>
        <v>2660609.5</v>
      </c>
    </row>
    <row r="94" spans="1:20" x14ac:dyDescent="0.25">
      <c r="G94" s="76" t="s">
        <v>911</v>
      </c>
    </row>
    <row r="95" spans="1:20" x14ac:dyDescent="0.25">
      <c r="G95" s="76" t="s">
        <v>912</v>
      </c>
    </row>
    <row r="96" spans="1:20" x14ac:dyDescent="0.25">
      <c r="G96" s="76" t="s">
        <v>913</v>
      </c>
    </row>
  </sheetData>
  <phoneticPr fontId="0" type="noConversion"/>
  <printOptions horizontalCentered="1"/>
  <pageMargins left="0" right="0" top="0.25" bottom="0.5" header="0.3" footer="0.3"/>
  <pageSetup paperSize="5" scale="80" fitToHeight="2" orientation="portrait" r:id="rId1"/>
  <headerFooter>
    <oddHeader>&amp;RPAGE 30</oddHeader>
    <oddFooter>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A25"/>
  <sheetViews>
    <sheetView workbookViewId="0">
      <selection activeCell="AK18" sqref="AK18"/>
    </sheetView>
  </sheetViews>
  <sheetFormatPr defaultRowHeight="15" x14ac:dyDescent="0.25"/>
  <cols>
    <col min="1" max="1" width="13.5703125" customWidth="1"/>
    <col min="2" max="2" width="35.7109375" bestFit="1" customWidth="1"/>
    <col min="3" max="3" width="20.28515625" hidden="1" customWidth="1"/>
    <col min="4" max="4" width="21.42578125" hidden="1" customWidth="1"/>
    <col min="5" max="5" width="14" hidden="1" customWidth="1"/>
    <col min="6" max="6" width="19.28515625" hidden="1" customWidth="1"/>
    <col min="7" max="7" width="21" style="76" hidden="1" customWidth="1"/>
    <col min="8" max="8" width="19.85546875" style="144" hidden="1" customWidth="1"/>
    <col min="9" max="10" width="22.140625" hidden="1" customWidth="1"/>
    <col min="11" max="11" width="21.42578125" hidden="1" customWidth="1"/>
    <col min="12" max="13" width="23" hidden="1" customWidth="1"/>
    <col min="14" max="14" width="26.42578125" hidden="1" customWidth="1"/>
    <col min="15" max="15" width="18.42578125" hidden="1" customWidth="1"/>
    <col min="16" max="16" width="17.28515625" hidden="1" customWidth="1"/>
    <col min="17" max="17" width="20.85546875" style="144" hidden="1" customWidth="1"/>
    <col min="18" max="18" width="27.140625" style="1024" hidden="1" customWidth="1"/>
    <col min="19" max="19" width="20.7109375" style="76" hidden="1" customWidth="1"/>
    <col min="20" max="20" width="19.42578125" style="76" hidden="1" customWidth="1"/>
    <col min="21" max="21" width="18.28515625" style="76" hidden="1" customWidth="1"/>
    <col min="22" max="23" width="20.140625" style="76" hidden="1" customWidth="1"/>
    <col min="24" max="24" width="16.85546875" style="76" hidden="1" customWidth="1"/>
    <col min="25" max="25" width="21.42578125" customWidth="1"/>
    <col min="26" max="26" width="17.28515625" bestFit="1" customWidth="1"/>
    <col min="27" max="27" width="10.85546875" bestFit="1" customWidth="1"/>
  </cols>
  <sheetData>
    <row r="1" spans="1:27" ht="22.5" x14ac:dyDescent="0.4">
      <c r="A1" s="27" t="s">
        <v>345</v>
      </c>
      <c r="B1" s="27"/>
      <c r="C1" s="2"/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68"/>
      <c r="R1" s="1143"/>
      <c r="X1" s="5"/>
      <c r="Y1" s="5"/>
    </row>
    <row r="2" spans="1:27" ht="36" customHeight="1" x14ac:dyDescent="0.4">
      <c r="A2" s="1078"/>
      <c r="B2" s="1078" t="s">
        <v>1156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78" t="s">
        <v>935</v>
      </c>
      <c r="O2" s="1078" t="s">
        <v>935</v>
      </c>
      <c r="P2" s="1078"/>
      <c r="Q2" s="168"/>
      <c r="R2" s="1143"/>
      <c r="X2" s="5"/>
      <c r="Y2" s="5"/>
    </row>
    <row r="3" spans="1:27" ht="22.5" x14ac:dyDescent="0.4">
      <c r="A3" s="282"/>
      <c r="B3" s="282" t="s">
        <v>1155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82" t="s">
        <v>855</v>
      </c>
      <c r="O3" s="282" t="s">
        <v>855</v>
      </c>
      <c r="P3" s="282"/>
      <c r="Q3" s="168"/>
      <c r="R3" s="1143"/>
      <c r="S3" s="5"/>
      <c r="T3" s="5"/>
      <c r="U3" s="5"/>
      <c r="V3" s="5"/>
      <c r="W3" s="5"/>
      <c r="X3" s="5"/>
      <c r="Y3" s="5"/>
    </row>
    <row r="4" spans="1:27" ht="23.25" thickBot="1" x14ac:dyDescent="0.45">
      <c r="A4" s="264"/>
      <c r="B4" s="264" t="s">
        <v>695</v>
      </c>
      <c r="C4" s="5"/>
      <c r="D4" s="393" t="s">
        <v>618</v>
      </c>
      <c r="E4" s="5"/>
      <c r="F4" s="8"/>
      <c r="G4" s="471" t="s">
        <v>632</v>
      </c>
      <c r="H4" s="5"/>
      <c r="I4" s="5"/>
      <c r="J4" s="5"/>
      <c r="K4" s="5"/>
      <c r="L4" s="434" t="s">
        <v>632</v>
      </c>
      <c r="M4" s="5"/>
      <c r="N4" s="264" t="s">
        <v>695</v>
      </c>
      <c r="O4" s="264" t="s">
        <v>695</v>
      </c>
      <c r="P4" s="264"/>
      <c r="Q4" s="168"/>
      <c r="R4" s="1143"/>
      <c r="S4" s="5"/>
      <c r="T4" s="5"/>
      <c r="U4" s="5"/>
      <c r="V4" s="5"/>
      <c r="W4" s="5"/>
      <c r="X4" s="5"/>
      <c r="Y4" s="5"/>
    </row>
    <row r="5" spans="1:27" ht="75" customHeight="1" thickBot="1" x14ac:dyDescent="0.4">
      <c r="A5" s="378" t="s">
        <v>648</v>
      </c>
      <c r="B5" s="378" t="s">
        <v>630</v>
      </c>
      <c r="C5" s="196" t="s">
        <v>494</v>
      </c>
      <c r="D5" s="196" t="s">
        <v>495</v>
      </c>
      <c r="E5" s="325" t="s">
        <v>306</v>
      </c>
      <c r="F5" s="143" t="s">
        <v>670</v>
      </c>
      <c r="G5" s="325" t="s">
        <v>715</v>
      </c>
      <c r="H5" s="324" t="s">
        <v>716</v>
      </c>
      <c r="I5" s="348" t="s">
        <v>698</v>
      </c>
      <c r="J5" s="348" t="s">
        <v>718</v>
      </c>
      <c r="K5" s="323" t="s">
        <v>616</v>
      </c>
      <c r="L5" s="473" t="s">
        <v>729</v>
      </c>
      <c r="M5" s="323" t="s">
        <v>750</v>
      </c>
      <c r="N5" s="983" t="s">
        <v>858</v>
      </c>
      <c r="O5" s="445" t="s">
        <v>877</v>
      </c>
      <c r="P5" s="909" t="s">
        <v>863</v>
      </c>
      <c r="Q5" s="1178" t="s">
        <v>864</v>
      </c>
      <c r="R5" s="551" t="s">
        <v>944</v>
      </c>
      <c r="S5" s="1428" t="s">
        <v>956</v>
      </c>
      <c r="T5" s="1428" t="s">
        <v>798</v>
      </c>
      <c r="U5" s="1428" t="s">
        <v>942</v>
      </c>
      <c r="V5" s="1428" t="s">
        <v>963</v>
      </c>
      <c r="W5" s="1428" t="s">
        <v>985</v>
      </c>
      <c r="X5" s="1528" t="s">
        <v>943</v>
      </c>
      <c r="Y5" s="1588" t="s">
        <v>1118</v>
      </c>
      <c r="Z5" s="1696" t="s">
        <v>1097</v>
      </c>
    </row>
    <row r="6" spans="1:27" ht="21.75" thickBot="1" x14ac:dyDescent="0.45">
      <c r="A6" s="452">
        <v>40000</v>
      </c>
      <c r="B6" s="452" t="s">
        <v>498</v>
      </c>
      <c r="C6" s="453">
        <v>1158935</v>
      </c>
      <c r="D6" s="454">
        <f>'[25]111 Revenue-Other Sources'!G20</f>
        <v>1352394</v>
      </c>
      <c r="E6" s="455">
        <f>D6-C6</f>
        <v>193459</v>
      </c>
      <c r="F6" s="457" t="e">
        <f>#REF!/D6</f>
        <v>#REF!</v>
      </c>
      <c r="G6" s="456" t="e">
        <f>'111 Revenue-Other Sources'!#REF!</f>
        <v>#REF!</v>
      </c>
      <c r="H6" s="457" t="e">
        <f>G6/#REF!</f>
        <v>#REF!</v>
      </c>
      <c r="I6" s="458" t="e">
        <f>'111 Revenue-Other Sources'!#REF!</f>
        <v>#REF!</v>
      </c>
      <c r="J6" s="459" t="e">
        <f>I6/#REF!</f>
        <v>#REF!</v>
      </c>
      <c r="K6" s="458"/>
      <c r="L6" s="543">
        <v>1355125</v>
      </c>
      <c r="M6" s="683" t="e">
        <f>'111 Revenue-Other Sources'!#REF!</f>
        <v>#REF!</v>
      </c>
      <c r="N6" s="1199">
        <f>'111 Revenue-Other Sources'!G28</f>
        <v>1500673</v>
      </c>
      <c r="O6" s="1253">
        <f>'111 Revenue-Other Sources'!H28</f>
        <v>1642247.7399999998</v>
      </c>
      <c r="P6" s="1200">
        <f>O6-N6</f>
        <v>141574.73999999976</v>
      </c>
      <c r="Q6" s="1195">
        <f>O6/N6</f>
        <v>1.0943408324131905</v>
      </c>
      <c r="R6" s="1024">
        <f>'111 Revenue-Other Sources'!L28</f>
        <v>1453561.1461926647</v>
      </c>
      <c r="S6" s="76">
        <f>'111 Revenue-Other Sources'!M28</f>
        <v>1190999.54</v>
      </c>
      <c r="T6" s="76">
        <f>S6-R6</f>
        <v>-262561.60619266471</v>
      </c>
      <c r="U6" s="76">
        <f>'111 Revenue-Other Sources'!O28</f>
        <v>1812517</v>
      </c>
      <c r="V6" s="76">
        <f>'111 Revenue-Other Sources'!P28</f>
        <v>1502517</v>
      </c>
      <c r="W6" s="76">
        <f t="shared" ref="W6:X8" si="0">V6</f>
        <v>1502517</v>
      </c>
      <c r="X6" s="76">
        <f t="shared" si="0"/>
        <v>1502517</v>
      </c>
      <c r="Y6" s="76">
        <f>'111 Revenue-Other Sources'!R28</f>
        <v>1549538</v>
      </c>
      <c r="Z6" s="76">
        <f>'111 Revenue-Other Sources'!T28</f>
        <v>1654399</v>
      </c>
    </row>
    <row r="7" spans="1:27" ht="18" thickBot="1" x14ac:dyDescent="0.4">
      <c r="A7" s="452">
        <v>61122</v>
      </c>
      <c r="B7" s="452" t="s">
        <v>915</v>
      </c>
      <c r="C7" s="460">
        <v>111100</v>
      </c>
      <c r="D7" s="454">
        <v>139452</v>
      </c>
      <c r="E7" s="455"/>
      <c r="F7" s="457" t="e">
        <f>#REF!/D7</f>
        <v>#REF!</v>
      </c>
      <c r="G7" s="456" t="e">
        <f>'111 Revenue-Other Sources'!#REF!</f>
        <v>#REF!</v>
      </c>
      <c r="H7" s="457"/>
      <c r="I7" s="456" t="e">
        <f>'111 Revenue-Other Sources'!#REF!</f>
        <v>#REF!</v>
      </c>
      <c r="J7" s="461" t="e">
        <f>I7/#REF!</f>
        <v>#REF!</v>
      </c>
      <c r="K7" s="456"/>
      <c r="L7" s="456">
        <v>146451</v>
      </c>
      <c r="M7" s="456" t="e">
        <f>'111 Revenue-Other Sources'!#REF!</f>
        <v>#REF!</v>
      </c>
      <c r="N7" s="1199">
        <f>'111 Revenue-Other Sources'!G33</f>
        <v>54000</v>
      </c>
      <c r="O7" s="1201">
        <f>'111 Revenue-Other Sources'!H33</f>
        <v>6000</v>
      </c>
      <c r="P7" s="1200">
        <f t="shared" ref="P7:P10" si="1">O7-N7</f>
        <v>-48000</v>
      </c>
      <c r="Q7" s="1195">
        <f t="shared" ref="Q7:Q9" si="2">O7/N7</f>
        <v>0.1111111111111111</v>
      </c>
      <c r="R7" s="1024">
        <f>'111 Revenue-Other Sources'!L32</f>
        <v>60000</v>
      </c>
      <c r="S7" s="76">
        <f>'111 Revenue-Other Sources'!M32</f>
        <v>21000</v>
      </c>
      <c r="T7" s="76">
        <f>S7-R7</f>
        <v>-39000</v>
      </c>
      <c r="U7" s="76">
        <f>'111 Revenue-Other Sources'!O32</f>
        <v>30000</v>
      </c>
      <c r="V7" s="76">
        <f>'111 Revenue-Other Sources'!P32</f>
        <v>30000</v>
      </c>
      <c r="W7" s="76">
        <f t="shared" si="0"/>
        <v>30000</v>
      </c>
      <c r="X7" s="76">
        <f t="shared" si="0"/>
        <v>30000</v>
      </c>
      <c r="Y7" s="76">
        <f>'111 Revenue-Other Sources'!R32</f>
        <v>30000</v>
      </c>
      <c r="Z7" s="76">
        <f>'111 Revenue-Other Sources'!T32</f>
        <v>56328.5</v>
      </c>
    </row>
    <row r="8" spans="1:27" ht="16.5" thickBot="1" x14ac:dyDescent="0.35">
      <c r="A8" s="452">
        <v>61123</v>
      </c>
      <c r="B8" s="452" t="s">
        <v>499</v>
      </c>
      <c r="C8" s="460">
        <v>34285</v>
      </c>
      <c r="D8" s="454">
        <v>42000</v>
      </c>
      <c r="E8" s="455"/>
      <c r="F8" s="457" t="e">
        <f>#REF!/D8</f>
        <v>#REF!</v>
      </c>
      <c r="G8" s="456" t="e">
        <f>'111 Revenue-Other Sources'!#REF!</f>
        <v>#REF!</v>
      </c>
      <c r="H8" s="457"/>
      <c r="I8" s="456" t="e">
        <f>'111 Revenue-Other Sources'!#REF!</f>
        <v>#REF!</v>
      </c>
      <c r="J8" s="462"/>
      <c r="K8" s="456"/>
      <c r="L8" s="456">
        <v>31546</v>
      </c>
      <c r="M8" s="456" t="e">
        <f>'111 Revenue-Other Sources'!#REF!</f>
        <v>#REF!</v>
      </c>
      <c r="N8" s="1199">
        <f>'111 Revenue-Other Sources'!G35</f>
        <v>39043</v>
      </c>
      <c r="O8" s="1201">
        <f>'111 Revenue-Other Sources'!H35</f>
        <v>27000</v>
      </c>
      <c r="P8" s="1200">
        <f t="shared" si="1"/>
        <v>-12043</v>
      </c>
      <c r="Q8" s="1195">
        <f t="shared" si="2"/>
        <v>0.69154521937351121</v>
      </c>
      <c r="R8" s="1024">
        <f>'111 Revenue-Other Sources'!L35</f>
        <v>39043</v>
      </c>
      <c r="S8" s="76">
        <f>'111 Revenue-Other Sources'!M35</f>
        <v>17801</v>
      </c>
      <c r="T8" s="76">
        <f>S8-R8</f>
        <v>-21242</v>
      </c>
      <c r="U8" s="76">
        <f>'111 Revenue-Other Sources'!O35</f>
        <v>30000</v>
      </c>
      <c r="V8" s="76">
        <f>'111 Revenue-Other Sources'!P35</f>
        <v>30000</v>
      </c>
      <c r="W8" s="76">
        <f t="shared" si="0"/>
        <v>30000</v>
      </c>
      <c r="X8" s="76">
        <f t="shared" si="0"/>
        <v>30000</v>
      </c>
      <c r="Y8" s="76">
        <f>'111 Revenue-Other Sources'!R35</f>
        <v>32000</v>
      </c>
      <c r="Z8" s="76">
        <f>'111 Revenue-Other Sources'!T35</f>
        <v>30728</v>
      </c>
    </row>
    <row r="9" spans="1:27" ht="16.5" hidden="1" thickBot="1" x14ac:dyDescent="0.35">
      <c r="A9" s="452">
        <v>61135</v>
      </c>
      <c r="B9" s="452" t="s">
        <v>500</v>
      </c>
      <c r="C9" s="460">
        <v>228000</v>
      </c>
      <c r="D9" s="454">
        <v>0</v>
      </c>
      <c r="E9" s="455"/>
      <c r="F9" s="457"/>
      <c r="G9" s="456"/>
      <c r="H9" s="457"/>
      <c r="I9" s="463"/>
      <c r="J9" s="462"/>
      <c r="K9" s="463"/>
      <c r="L9" s="456">
        <v>0</v>
      </c>
      <c r="M9" s="463"/>
      <c r="N9" s="1199"/>
      <c r="O9" s="1201"/>
      <c r="P9" s="1200">
        <f t="shared" si="1"/>
        <v>0</v>
      </c>
      <c r="Q9" s="1195" t="e">
        <f t="shared" si="2"/>
        <v>#DIV/0!</v>
      </c>
    </row>
    <row r="10" spans="1:27" ht="18" thickBot="1" x14ac:dyDescent="0.4">
      <c r="A10" s="452">
        <v>61100</v>
      </c>
      <c r="B10" s="452" t="s">
        <v>501</v>
      </c>
      <c r="C10" s="460">
        <v>135918</v>
      </c>
      <c r="D10" s="454">
        <v>135918</v>
      </c>
      <c r="E10" s="455"/>
      <c r="F10" s="457" t="e">
        <f>#REF!/D10</f>
        <v>#REF!</v>
      </c>
      <c r="G10" s="456" t="e">
        <f>'111 Revenue-Other Sources'!#REF!</f>
        <v>#REF!</v>
      </c>
      <c r="H10" s="457" t="e">
        <f>G10/#REF!</f>
        <v>#REF!</v>
      </c>
      <c r="I10" s="456" t="e">
        <f>'111 Revenue-Other Sources'!#REF!</f>
        <v>#REF!</v>
      </c>
      <c r="J10" s="461" t="e">
        <f>I10/#REF!</f>
        <v>#REF!</v>
      </c>
      <c r="K10" s="456"/>
      <c r="L10" s="456">
        <v>100000</v>
      </c>
      <c r="M10" s="456" t="e">
        <f>'111 Revenue-Other Sources'!#REF!</f>
        <v>#REF!</v>
      </c>
      <c r="N10" s="1199">
        <v>0</v>
      </c>
      <c r="O10" s="1208">
        <f>'111 Revenue-Other Sources'!H31</f>
        <v>218635</v>
      </c>
      <c r="P10" s="1200">
        <f t="shared" si="1"/>
        <v>218635</v>
      </c>
      <c r="Q10" s="1195"/>
      <c r="Y10">
        <f>'111 Revenue-Other Sources'!R31</f>
        <v>5394</v>
      </c>
      <c r="Z10" s="76">
        <f>'111 Revenue-Other Sources'!T31</f>
        <v>40000</v>
      </c>
    </row>
    <row r="11" spans="1:27" ht="20.25" thickTop="1" thickBot="1" x14ac:dyDescent="0.35">
      <c r="A11" s="155"/>
      <c r="B11" s="159" t="s">
        <v>377</v>
      </c>
      <c r="C11" s="160">
        <f>SUM(C6:C10)</f>
        <v>1668238</v>
      </c>
      <c r="D11" s="160">
        <f>SUM(D6:D10)</f>
        <v>1669764</v>
      </c>
      <c r="E11" s="394">
        <f>SUM(E6:E10)</f>
        <v>193459</v>
      </c>
      <c r="F11" s="161" t="e">
        <f>#REF!/D11</f>
        <v>#REF!</v>
      </c>
      <c r="G11" s="160" t="e">
        <f>SUM(G6:G10)</f>
        <v>#REF!</v>
      </c>
      <c r="H11" s="163" t="e">
        <f>G11/#REF!</f>
        <v>#REF!</v>
      </c>
      <c r="I11" s="414" t="e">
        <f>SUM(I6:I10)</f>
        <v>#REF!</v>
      </c>
      <c r="J11" s="163" t="e">
        <f>I11/#REF!</f>
        <v>#REF!</v>
      </c>
      <c r="K11" s="414">
        <f t="shared" ref="K11:Z11" si="3">SUM(K6:K10)</f>
        <v>0</v>
      </c>
      <c r="L11" s="414">
        <f t="shared" si="3"/>
        <v>1633122</v>
      </c>
      <c r="M11" s="414" t="e">
        <f t="shared" si="3"/>
        <v>#REF!</v>
      </c>
      <c r="N11" s="414">
        <f>SUM(N6:N10)</f>
        <v>1593716</v>
      </c>
      <c r="O11" s="414">
        <f t="shared" si="3"/>
        <v>1893882.7399999998</v>
      </c>
      <c r="P11" s="414">
        <f t="shared" si="3"/>
        <v>300166.73999999976</v>
      </c>
      <c r="Q11" s="163">
        <f>O11/N11</f>
        <v>1.1883439332980279</v>
      </c>
      <c r="R11" s="1254">
        <f t="shared" si="3"/>
        <v>1552604.1461926647</v>
      </c>
      <c r="S11" s="414">
        <f t="shared" si="3"/>
        <v>1229800.54</v>
      </c>
      <c r="T11" s="414">
        <f t="shared" si="3"/>
        <v>-322803.60619266471</v>
      </c>
      <c r="U11" s="414">
        <f t="shared" si="3"/>
        <v>1872517</v>
      </c>
      <c r="V11" s="414">
        <f t="shared" si="3"/>
        <v>1562517</v>
      </c>
      <c r="W11" s="414">
        <f t="shared" si="3"/>
        <v>1562517</v>
      </c>
      <c r="X11" s="414">
        <f t="shared" si="3"/>
        <v>1562517</v>
      </c>
      <c r="Y11" s="414">
        <f t="shared" si="3"/>
        <v>1616932</v>
      </c>
      <c r="Z11" s="414">
        <f t="shared" si="3"/>
        <v>1781455.5</v>
      </c>
      <c r="AA11" s="76">
        <f>Y11-Y18</f>
        <v>0</v>
      </c>
    </row>
    <row r="12" spans="1:27" ht="16.5" thickTop="1" thickBot="1" x14ac:dyDescent="0.3">
      <c r="F12" s="144"/>
      <c r="J12" s="144"/>
      <c r="P12" s="182"/>
    </row>
    <row r="13" spans="1:27" ht="65.25" thickBot="1" x14ac:dyDescent="0.4">
      <c r="A13" s="190"/>
      <c r="B13" s="378" t="s">
        <v>630</v>
      </c>
      <c r="D13" s="121" t="s">
        <v>495</v>
      </c>
      <c r="E13" s="13" t="s">
        <v>306</v>
      </c>
      <c r="F13" s="143" t="s">
        <v>671</v>
      </c>
      <c r="G13" s="325" t="s">
        <v>717</v>
      </c>
      <c r="H13" s="324" t="s">
        <v>575</v>
      </c>
      <c r="I13" s="348" t="s">
        <v>726</v>
      </c>
      <c r="J13" s="324" t="s">
        <v>725</v>
      </c>
      <c r="K13" s="323" t="s">
        <v>616</v>
      </c>
      <c r="L13" s="473" t="s">
        <v>723</v>
      </c>
      <c r="M13" s="323" t="s">
        <v>751</v>
      </c>
      <c r="N13" s="983" t="s">
        <v>858</v>
      </c>
      <c r="O13" s="445" t="s">
        <v>877</v>
      </c>
      <c r="P13" s="1079" t="s">
        <v>853</v>
      </c>
      <c r="Q13" s="1252" t="s">
        <v>862</v>
      </c>
      <c r="R13" s="551" t="s">
        <v>944</v>
      </c>
      <c r="S13" s="1428" t="s">
        <v>956</v>
      </c>
      <c r="T13" s="1428" t="s">
        <v>798</v>
      </c>
      <c r="U13" s="1428" t="s">
        <v>942</v>
      </c>
      <c r="V13" s="1428" t="s">
        <v>963</v>
      </c>
      <c r="W13" s="1428" t="s">
        <v>985</v>
      </c>
      <c r="X13" s="1428" t="s">
        <v>943</v>
      </c>
      <c r="Y13" s="1588" t="s">
        <v>1118</v>
      </c>
      <c r="Z13" s="1696" t="s">
        <v>1097</v>
      </c>
    </row>
    <row r="14" spans="1:27" x14ac:dyDescent="0.25">
      <c r="A14" s="463"/>
      <c r="B14" s="467" t="s">
        <v>719</v>
      </c>
      <c r="C14" s="463"/>
      <c r="D14" s="463"/>
      <c r="E14" s="463"/>
      <c r="F14" s="457"/>
      <c r="G14" s="456"/>
      <c r="H14" s="457"/>
      <c r="I14" s="463"/>
      <c r="J14" s="457"/>
      <c r="K14" s="463"/>
      <c r="M14" s="470"/>
      <c r="P14" s="677"/>
    </row>
    <row r="15" spans="1:27" x14ac:dyDescent="0.25">
      <c r="A15" s="463"/>
      <c r="B15" s="463" t="s">
        <v>378</v>
      </c>
      <c r="C15" s="468">
        <v>2059172</v>
      </c>
      <c r="D15" s="456" t="e">
        <f>'[25]111-53700'!#REF!</f>
        <v>#REF!</v>
      </c>
      <c r="E15" s="468" t="e">
        <f>D15-C15</f>
        <v>#REF!</v>
      </c>
      <c r="F15" s="457">
        <f>'111-53700-Expenses'!E82</f>
        <v>1659154.1699999997</v>
      </c>
      <c r="G15" s="456">
        <f>'111-53700-Expenses'!E82</f>
        <v>1659154.1699999997</v>
      </c>
      <c r="H15" s="457" t="e">
        <f>G15/#REF!</f>
        <v>#REF!</v>
      </c>
      <c r="I15" s="456">
        <f>'111-53700-Expenses'!G82</f>
        <v>2097293</v>
      </c>
      <c r="J15" s="457" t="e">
        <f>I15/#REF!</f>
        <v>#REF!</v>
      </c>
      <c r="K15" s="456"/>
      <c r="L15" s="76" t="e">
        <f>'111-53700-Expenses'!#REF!</f>
        <v>#REF!</v>
      </c>
      <c r="M15" s="456" t="e">
        <f>'111-53700-Expenses'!#REF!</f>
        <v>#REF!</v>
      </c>
      <c r="N15" s="76">
        <f>'111-53700-Expenses'!G91</f>
        <v>2281293</v>
      </c>
      <c r="O15" s="76">
        <f>'111-53700-Expenses'!H91</f>
        <v>1767521.4500000002</v>
      </c>
      <c r="P15" s="345">
        <f>N15-O15</f>
        <v>513771.54999999981</v>
      </c>
      <c r="Q15" s="144">
        <f>O15/N15</f>
        <v>0.77478931903968506</v>
      </c>
      <c r="R15" s="1024">
        <f>'111-53700-Expenses'!K91</f>
        <v>2228382</v>
      </c>
      <c r="S15" s="76">
        <f>'111-53700-Expenses'!L82</f>
        <v>1565324.7900000003</v>
      </c>
      <c r="T15" s="76">
        <f>R15-S15</f>
        <v>663057.20999999973</v>
      </c>
      <c r="U15" s="76">
        <f>'111-53700-Expenses'!N91</f>
        <v>2606859</v>
      </c>
      <c r="V15" s="76">
        <f>'111-53700-Expenses'!O91</f>
        <v>2197188</v>
      </c>
      <c r="W15" s="76">
        <f>'111-53700-Expenses'!P91</f>
        <v>2197188</v>
      </c>
      <c r="X15" s="76">
        <f>W15</f>
        <v>2197188</v>
      </c>
      <c r="Y15" s="76">
        <f>'111-53700-Expenses'!R91</f>
        <v>2284468</v>
      </c>
      <c r="Z15" s="76">
        <f>'111-53700-Expenses'!T91-Z17</f>
        <v>2480609.5</v>
      </c>
    </row>
    <row r="16" spans="1:27" x14ac:dyDescent="0.25">
      <c r="A16" s="463"/>
      <c r="B16" s="674" t="s">
        <v>502</v>
      </c>
      <c r="C16" s="468">
        <v>-142574</v>
      </c>
      <c r="D16" s="469">
        <v>-231012</v>
      </c>
      <c r="E16" s="468"/>
      <c r="F16" s="457" t="e">
        <f>#REF!/D16</f>
        <v>#REF!</v>
      </c>
      <c r="G16" s="456" t="e">
        <f>-'117-Rev-Other Sources &amp; Expense'!#REF!</f>
        <v>#REF!</v>
      </c>
      <c r="H16" s="457" t="e">
        <f>G16/#REF!</f>
        <v>#REF!</v>
      </c>
      <c r="I16" s="456" t="e">
        <f>-'117-Rev-Other Sources &amp; Expense'!#REF!</f>
        <v>#REF!</v>
      </c>
      <c r="J16" s="457" t="e">
        <f>I16/#REF!</f>
        <v>#REF!</v>
      </c>
      <c r="K16" s="456"/>
      <c r="L16" s="76">
        <f>'[26]111-Summary'!$Q$20</f>
        <v>-915907</v>
      </c>
      <c r="M16" s="456">
        <f>-[27]Sheet1!$L$54-[27]Sheet1!$L$97</f>
        <v>-424401</v>
      </c>
      <c r="N16" s="76">
        <f>-'117-Rev-Other Sources &amp; Expense'!J24</f>
        <v>-869314</v>
      </c>
      <c r="O16" s="76">
        <f>-'117-Rev-Other Sources &amp; Expense'!K24</f>
        <v>-771596.58000000007</v>
      </c>
      <c r="P16" s="345">
        <f>N16-O16</f>
        <v>-97717.419999999925</v>
      </c>
      <c r="Q16" s="144">
        <f>O16/N16</f>
        <v>0.88759249247107497</v>
      </c>
      <c r="R16" s="1024">
        <f>-'117-Rev-Other Sources &amp; Expense'!M24</f>
        <v>-844928</v>
      </c>
      <c r="S16" s="76">
        <v>-694815.31</v>
      </c>
      <c r="T16" s="76">
        <f>S16-R16</f>
        <v>150112.68999999994</v>
      </c>
      <c r="U16" s="76">
        <v>-984333.13</v>
      </c>
      <c r="V16" s="76">
        <v>-784690</v>
      </c>
      <c r="W16" s="76">
        <f>V16</f>
        <v>-784690</v>
      </c>
      <c r="X16" s="76">
        <f>W16</f>
        <v>-784690</v>
      </c>
      <c r="Y16" s="76">
        <f>-'117-Rev-Other Sources &amp; Expense'!O24</f>
        <v>-835201</v>
      </c>
      <c r="Z16" s="76">
        <f>-'117-Rev-Other Sources &amp; Expense'!Q24</f>
        <v>-879154</v>
      </c>
    </row>
    <row r="17" spans="1:26" ht="15.75" thickBot="1" x14ac:dyDescent="0.3">
      <c r="A17" s="464"/>
      <c r="B17" s="464" t="s">
        <v>596</v>
      </c>
      <c r="C17" s="465">
        <f>'[6]GASOLINE III SUMMARY'!$D$25</f>
        <v>171510</v>
      </c>
      <c r="D17" s="465">
        <v>171510</v>
      </c>
      <c r="E17" s="465">
        <f>D17-C17</f>
        <v>0</v>
      </c>
      <c r="F17" s="466" t="e">
        <f>#REF!/D17</f>
        <v>#REF!</v>
      </c>
      <c r="G17" s="465">
        <v>153064.66</v>
      </c>
      <c r="H17" s="466" t="e">
        <f>G17/#REF!</f>
        <v>#REF!</v>
      </c>
      <c r="I17" s="465">
        <v>166963.72</v>
      </c>
      <c r="J17" s="466" t="e">
        <f>I17/#REF!</f>
        <v>#REF!</v>
      </c>
      <c r="K17" s="465"/>
      <c r="L17" s="76">
        <v>166964</v>
      </c>
      <c r="M17" s="465" t="e">
        <f>'111-53700-Expenses'!#REF!</f>
        <v>#REF!</v>
      </c>
      <c r="N17" s="76">
        <v>171574</v>
      </c>
      <c r="O17" s="76">
        <v>85788</v>
      </c>
      <c r="P17" s="372">
        <f>N17-O17</f>
        <v>85786</v>
      </c>
      <c r="Q17" s="144">
        <f>O17/N17</f>
        <v>0.50000582838891672</v>
      </c>
      <c r="R17" s="1024">
        <v>169150.15</v>
      </c>
      <c r="S17" s="76">
        <v>141040</v>
      </c>
      <c r="T17" s="76">
        <f>R17-S17</f>
        <v>28110.149999999994</v>
      </c>
      <c r="U17" s="76">
        <v>150019</v>
      </c>
      <c r="V17" s="76">
        <v>150019</v>
      </c>
      <c r="W17" s="76">
        <v>150019</v>
      </c>
      <c r="X17" s="76">
        <f>W17</f>
        <v>150019</v>
      </c>
      <c r="Y17" s="76">
        <v>167665</v>
      </c>
      <c r="Z17" s="76">
        <v>180000</v>
      </c>
    </row>
    <row r="18" spans="1:26" ht="20.25" thickTop="1" thickBot="1" x14ac:dyDescent="0.35">
      <c r="A18" s="155"/>
      <c r="B18" s="159" t="s">
        <v>370</v>
      </c>
      <c r="C18" s="162">
        <f>SUM(C15:C17)</f>
        <v>2088108</v>
      </c>
      <c r="D18" s="162" t="e">
        <f>SUM(D15:D17)</f>
        <v>#REF!</v>
      </c>
      <c r="E18" s="395" t="e">
        <f>SUM(E15:E17)</f>
        <v>#REF!</v>
      </c>
      <c r="F18" s="163" t="e">
        <f>#REF!/D18</f>
        <v>#REF!</v>
      </c>
      <c r="G18" s="162" t="e">
        <f>SUM(G15:G17)</f>
        <v>#REF!</v>
      </c>
      <c r="H18" s="163" t="e">
        <f>G18/#REF!</f>
        <v>#REF!</v>
      </c>
      <c r="I18" s="414" t="e">
        <f>SUM(I15:I17)</f>
        <v>#REF!</v>
      </c>
      <c r="J18" s="163" t="e">
        <f>I18/#REF!</f>
        <v>#REF!</v>
      </c>
      <c r="K18" s="414"/>
      <c r="L18" s="414" t="e">
        <f>SUM(L15:L17)</f>
        <v>#REF!</v>
      </c>
      <c r="M18" s="414" t="e">
        <f t="shared" ref="M18:Z18" si="4">SUM(M15:M17)</f>
        <v>#REF!</v>
      </c>
      <c r="N18" s="414">
        <f>SUM(N15:N17)</f>
        <v>1583553</v>
      </c>
      <c r="O18" s="414">
        <f t="shared" si="4"/>
        <v>1081712.8700000001</v>
      </c>
      <c r="P18" s="414">
        <f t="shared" si="4"/>
        <v>501840.12999999989</v>
      </c>
      <c r="Q18" s="163">
        <f>O18/N18</f>
        <v>0.6830923057201117</v>
      </c>
      <c r="R18" s="414">
        <f t="shared" si="4"/>
        <v>1552604.15</v>
      </c>
      <c r="S18" s="414">
        <f t="shared" si="4"/>
        <v>1011549.4800000002</v>
      </c>
      <c r="T18" s="414">
        <f t="shared" si="4"/>
        <v>841280.0499999997</v>
      </c>
      <c r="U18" s="414">
        <f t="shared" si="4"/>
        <v>1772544.87</v>
      </c>
      <c r="V18" s="414">
        <f t="shared" si="4"/>
        <v>1562517</v>
      </c>
      <c r="W18" s="414">
        <f t="shared" si="4"/>
        <v>1562517</v>
      </c>
      <c r="X18" s="414">
        <f t="shared" si="4"/>
        <v>1562517</v>
      </c>
      <c r="Y18" s="414">
        <f t="shared" si="4"/>
        <v>1616932</v>
      </c>
      <c r="Z18" s="414">
        <f t="shared" si="4"/>
        <v>1781455.5</v>
      </c>
    </row>
    <row r="19" spans="1:26" ht="15.75" thickTop="1" x14ac:dyDescent="0.25">
      <c r="F19" s="144"/>
      <c r="I19" s="76"/>
      <c r="J19" s="76"/>
      <c r="K19" s="76"/>
      <c r="L19" s="76"/>
      <c r="M19" s="76"/>
      <c r="T19" s="76" t="s">
        <v>976</v>
      </c>
      <c r="U19" s="76">
        <f>U11-U18</f>
        <v>99972.129999999888</v>
      </c>
      <c r="V19" s="76">
        <f>V11-V18</f>
        <v>0</v>
      </c>
      <c r="W19" s="76">
        <f>W11-W18</f>
        <v>0</v>
      </c>
    </row>
    <row r="20" spans="1:26" ht="21" x14ac:dyDescent="0.35">
      <c r="B20" s="676" t="s">
        <v>752</v>
      </c>
      <c r="I20" s="76"/>
      <c r="J20" s="76"/>
      <c r="K20" s="76"/>
      <c r="L20" s="76"/>
      <c r="M20" s="76"/>
      <c r="N20" s="204"/>
      <c r="Z20" s="76">
        <f>Z11-Z18</f>
        <v>0</v>
      </c>
    </row>
    <row r="21" spans="1:26" x14ac:dyDescent="0.25">
      <c r="A21" s="675"/>
      <c r="B21" t="s">
        <v>753</v>
      </c>
      <c r="N21" s="204"/>
    </row>
    <row r="22" spans="1:26" x14ac:dyDescent="0.25">
      <c r="B22" t="s">
        <v>754</v>
      </c>
      <c r="N22" s="204"/>
    </row>
    <row r="23" spans="1:26" x14ac:dyDescent="0.25">
      <c r="B23" t="s">
        <v>755</v>
      </c>
      <c r="N23" s="204"/>
    </row>
    <row r="24" spans="1:26" x14ac:dyDescent="0.25">
      <c r="B24" t="s">
        <v>756</v>
      </c>
    </row>
    <row r="25" spans="1:26" x14ac:dyDescent="0.25">
      <c r="B25" t="s">
        <v>936</v>
      </c>
    </row>
  </sheetData>
  <phoneticPr fontId="20" type="noConversion"/>
  <pageMargins left="0.75" right="0.75" top="1" bottom="1" header="0.5" footer="0.5"/>
  <pageSetup paperSize="5" scale="90" orientation="portrait" r:id="rId1"/>
  <headerFooter alignWithMargins="0">
    <oddHeader>&amp;RPAGE 31</oddHeader>
    <oddFooter>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25"/>
  <sheetViews>
    <sheetView workbookViewId="0">
      <selection sqref="A1:I20"/>
    </sheetView>
  </sheetViews>
  <sheetFormatPr defaultRowHeight="16.5" x14ac:dyDescent="0.3"/>
  <cols>
    <col min="1" max="1" width="10.140625" customWidth="1"/>
    <col min="2" max="2" width="32.85546875" customWidth="1"/>
    <col min="3" max="3" width="21.42578125" style="774" hidden="1" customWidth="1"/>
    <col min="4" max="4" width="18.7109375" hidden="1" customWidth="1"/>
    <col min="5" max="5" width="18" style="76" customWidth="1"/>
    <col min="6" max="6" width="13" customWidth="1"/>
    <col min="7" max="7" width="15.140625" style="1024" hidden="1" customWidth="1"/>
    <col min="8" max="8" width="16.42578125" style="144" hidden="1" customWidth="1"/>
    <col min="9" max="9" width="16.7109375" style="204" customWidth="1"/>
  </cols>
  <sheetData>
    <row r="1" spans="1:9" ht="22.5" x14ac:dyDescent="0.4">
      <c r="A1" s="207"/>
      <c r="B1" s="198" t="s">
        <v>620</v>
      </c>
      <c r="C1" s="772"/>
      <c r="D1" s="772"/>
      <c r="E1" s="772"/>
      <c r="F1" s="772"/>
      <c r="G1" s="1681"/>
      <c r="H1" s="1377"/>
      <c r="I1" s="1738"/>
    </row>
    <row r="2" spans="1:9" ht="22.5" x14ac:dyDescent="0.4">
      <c r="A2" s="37"/>
      <c r="B2" s="944" t="s">
        <v>1155</v>
      </c>
      <c r="C2" s="772"/>
      <c r="D2" s="772"/>
      <c r="E2" s="772"/>
      <c r="F2" s="772"/>
      <c r="G2" s="1681"/>
      <c r="H2" s="1377"/>
      <c r="I2" s="1738"/>
    </row>
    <row r="3" spans="1:9" ht="22.5" x14ac:dyDescent="0.4">
      <c r="A3" s="140"/>
      <c r="B3" s="205" t="s">
        <v>1107</v>
      </c>
      <c r="C3" s="773"/>
      <c r="D3" s="773"/>
      <c r="E3" s="772"/>
      <c r="F3" s="772"/>
      <c r="G3" s="1681"/>
      <c r="H3" s="1377"/>
      <c r="I3" s="1738"/>
    </row>
    <row r="4" spans="1:9" ht="17.25" thickBot="1" x14ac:dyDescent="0.35">
      <c r="A4" s="38"/>
      <c r="B4" s="38"/>
    </row>
    <row r="5" spans="1:9" ht="65.099999999999994" customHeight="1" thickBot="1" x14ac:dyDescent="0.35">
      <c r="A5" s="1339"/>
      <c r="B5" s="1340" t="s">
        <v>561</v>
      </c>
      <c r="C5" s="551" t="s">
        <v>944</v>
      </c>
      <c r="D5" s="1312" t="s">
        <v>943</v>
      </c>
      <c r="E5" s="1588" t="s">
        <v>1078</v>
      </c>
      <c r="F5" s="1679" t="s">
        <v>1084</v>
      </c>
      <c r="G5" s="1682" t="s">
        <v>798</v>
      </c>
      <c r="H5" s="1683" t="s">
        <v>1087</v>
      </c>
      <c r="I5" s="1739" t="s">
        <v>1097</v>
      </c>
    </row>
    <row r="6" spans="1:9" x14ac:dyDescent="0.3">
      <c r="A6" s="38" t="s">
        <v>559</v>
      </c>
      <c r="B6" s="38" t="s">
        <v>1089</v>
      </c>
      <c r="C6" s="774">
        <v>1171</v>
      </c>
      <c r="D6" s="76">
        <v>964</v>
      </c>
      <c r="E6" s="76">
        <v>11922</v>
      </c>
      <c r="F6" s="1680">
        <f>'[28]SEPTEMBER 2020'!$K$48</f>
        <v>9444.57</v>
      </c>
      <c r="G6" s="1024">
        <f>F6-E6</f>
        <v>-2477.4300000000003</v>
      </c>
      <c r="H6" s="144">
        <f>F6/E6</f>
        <v>0.79219677906391539</v>
      </c>
      <c r="I6" s="204">
        <v>4500</v>
      </c>
    </row>
    <row r="7" spans="1:9" x14ac:dyDescent="0.3">
      <c r="A7" s="39" t="s">
        <v>604</v>
      </c>
      <c r="B7" s="38" t="s">
        <v>606</v>
      </c>
      <c r="C7" s="774">
        <v>3300</v>
      </c>
      <c r="D7" s="76">
        <v>240</v>
      </c>
      <c r="E7" s="76">
        <v>2900</v>
      </c>
      <c r="F7" s="76">
        <f>[29]Sheet1!$G$32</f>
        <v>3120</v>
      </c>
      <c r="G7" s="1024">
        <f>F7-E7</f>
        <v>220</v>
      </c>
      <c r="H7" s="144">
        <f>F7/E7</f>
        <v>1.0758620689655172</v>
      </c>
      <c r="I7" s="204">
        <v>3000</v>
      </c>
    </row>
    <row r="8" spans="1:9" x14ac:dyDescent="0.3">
      <c r="A8" s="39" t="s">
        <v>605</v>
      </c>
      <c r="B8" s="38" t="s">
        <v>607</v>
      </c>
      <c r="C8" s="774">
        <v>925</v>
      </c>
      <c r="D8" s="76">
        <v>2560</v>
      </c>
      <c r="E8" s="76">
        <v>850</v>
      </c>
    </row>
    <row r="9" spans="1:9" x14ac:dyDescent="0.3">
      <c r="A9" s="39" t="s">
        <v>610</v>
      </c>
      <c r="B9" s="38" t="s">
        <v>611</v>
      </c>
      <c r="D9" s="76"/>
      <c r="F9" s="76">
        <f>[29]Sheet1!$D$32</f>
        <v>240</v>
      </c>
      <c r="G9" s="1024">
        <f>F9-E9</f>
        <v>240</v>
      </c>
      <c r="H9" s="144">
        <v>1</v>
      </c>
      <c r="I9" s="204">
        <v>240</v>
      </c>
    </row>
    <row r="10" spans="1:9" x14ac:dyDescent="0.3">
      <c r="A10" s="39" t="s">
        <v>893</v>
      </c>
      <c r="B10" s="38" t="s">
        <v>894</v>
      </c>
      <c r="C10" s="774">
        <v>31668</v>
      </c>
      <c r="D10" s="76">
        <v>24980</v>
      </c>
      <c r="E10" s="76">
        <f>24284+2500</f>
        <v>26784</v>
      </c>
      <c r="F10" s="76">
        <f>[29]Sheet1!$E$32</f>
        <v>23602.57</v>
      </c>
      <c r="G10" s="1024">
        <f t="shared" ref="G10:G12" si="0">F10-E10</f>
        <v>-3181.4300000000003</v>
      </c>
      <c r="H10" s="144">
        <f t="shared" ref="H10:H12" si="1">F10/E10</f>
        <v>0.88121901135005976</v>
      </c>
      <c r="I10" s="204">
        <v>26759</v>
      </c>
    </row>
    <row r="11" spans="1:9" x14ac:dyDescent="0.3">
      <c r="A11" s="38" t="s">
        <v>569</v>
      </c>
      <c r="B11" s="38" t="s">
        <v>570</v>
      </c>
      <c r="C11" s="774">
        <v>60120</v>
      </c>
      <c r="D11" s="76">
        <v>91200</v>
      </c>
      <c r="E11" s="76">
        <v>76080</v>
      </c>
      <c r="F11" s="76">
        <f>[29]Sheet1!$V$32</f>
        <v>84710</v>
      </c>
      <c r="G11" s="1024">
        <f t="shared" si="0"/>
        <v>8630</v>
      </c>
      <c r="H11" s="144">
        <f t="shared" si="1"/>
        <v>1.1134332281808623</v>
      </c>
      <c r="I11" s="204">
        <v>84000</v>
      </c>
    </row>
    <row r="12" spans="1:9" x14ac:dyDescent="0.3">
      <c r="A12" s="39" t="s">
        <v>45</v>
      </c>
      <c r="B12" s="38" t="s">
        <v>184</v>
      </c>
      <c r="C12" s="774">
        <v>4</v>
      </c>
      <c r="D12" s="76">
        <v>56</v>
      </c>
      <c r="E12" s="76">
        <v>3</v>
      </c>
      <c r="F12" s="76">
        <f>[29]Sheet1!$X$32</f>
        <v>4.1599999999999993</v>
      </c>
      <c r="G12" s="1024">
        <f t="shared" si="0"/>
        <v>1.1599999999999993</v>
      </c>
      <c r="H12" s="144">
        <f t="shared" si="1"/>
        <v>1.3866666666666665</v>
      </c>
      <c r="I12" s="204">
        <v>4</v>
      </c>
    </row>
    <row r="13" spans="1:9" ht="17.25" thickBot="1" x14ac:dyDescent="0.35">
      <c r="A13" s="39" t="s">
        <v>608</v>
      </c>
      <c r="B13" s="40" t="s">
        <v>609</v>
      </c>
      <c r="D13" s="76"/>
    </row>
    <row r="14" spans="1:9" s="170" customFormat="1" ht="19.5" thickTop="1" thickBot="1" x14ac:dyDescent="0.4">
      <c r="A14" s="1335"/>
      <c r="B14" s="1335" t="s">
        <v>474</v>
      </c>
      <c r="C14" s="771">
        <f>SUM(C6:C13)</f>
        <v>97188</v>
      </c>
      <c r="D14" s="771">
        <f>SUM(D6:D13)</f>
        <v>120000</v>
      </c>
      <c r="E14" s="771">
        <f>SUM(E6:E13)</f>
        <v>118539</v>
      </c>
      <c r="F14" s="771">
        <f>SUM(F6:F13)</f>
        <v>121121.3</v>
      </c>
      <c r="G14" s="771">
        <f>SUM(G6:G13)</f>
        <v>3432.2999999999993</v>
      </c>
      <c r="H14" s="1685">
        <f>F14/E14</f>
        <v>1.0217843916348206</v>
      </c>
      <c r="I14" s="771">
        <f>SUM(I6:I13)</f>
        <v>118503</v>
      </c>
    </row>
    <row r="15" spans="1:9" ht="19.5" thickTop="1" thickBot="1" x14ac:dyDescent="0.4">
      <c r="A15" s="127"/>
      <c r="B15" s="127"/>
    </row>
    <row r="16" spans="1:9" ht="60" customHeight="1" thickBot="1" x14ac:dyDescent="0.35">
      <c r="A16" s="190"/>
      <c r="B16" s="1341" t="s">
        <v>562</v>
      </c>
      <c r="C16" s="551" t="s">
        <v>944</v>
      </c>
      <c r="D16" s="1312" t="s">
        <v>943</v>
      </c>
      <c r="E16" s="1588" t="s">
        <v>1078</v>
      </c>
      <c r="F16" s="1679" t="s">
        <v>1090</v>
      </c>
      <c r="G16" s="1682" t="s">
        <v>798</v>
      </c>
      <c r="H16" s="1684" t="s">
        <v>1092</v>
      </c>
      <c r="I16" s="1739" t="s">
        <v>1097</v>
      </c>
    </row>
    <row r="17" spans="1:9" x14ac:dyDescent="0.3">
      <c r="A17" s="49"/>
    </row>
    <row r="18" spans="1:9" x14ac:dyDescent="0.3">
      <c r="A18" s="50" t="s">
        <v>470</v>
      </c>
      <c r="B18" s="49" t="s">
        <v>471</v>
      </c>
      <c r="C18" s="774">
        <v>97188</v>
      </c>
      <c r="D18" s="204">
        <v>120000</v>
      </c>
      <c r="E18" s="76">
        <v>118539</v>
      </c>
      <c r="F18" s="76">
        <f>[13]DETAIL!$D$150</f>
        <v>100402.46</v>
      </c>
      <c r="G18" s="1024">
        <f>F18-E18</f>
        <v>-18136.539999999994</v>
      </c>
      <c r="H18" s="554">
        <f>F18/E18</f>
        <v>0.8469993841689234</v>
      </c>
      <c r="I18" s="204">
        <v>118503</v>
      </c>
    </row>
    <row r="19" spans="1:9" ht="17.25" thickBot="1" x14ac:dyDescent="0.35">
      <c r="A19" s="50"/>
      <c r="B19" s="49"/>
      <c r="H19" s="554"/>
    </row>
    <row r="20" spans="1:9" ht="19.5" thickTop="1" thickBot="1" x14ac:dyDescent="0.4">
      <c r="A20" s="1336"/>
      <c r="B20" s="1337" t="s">
        <v>473</v>
      </c>
      <c r="C20" s="771">
        <f>SUM(C18:C18)</f>
        <v>97188</v>
      </c>
      <c r="D20" s="771">
        <f>SUM(D18:D18)</f>
        <v>120000</v>
      </c>
      <c r="E20" s="771">
        <f>SUM(E18:E18)</f>
        <v>118539</v>
      </c>
      <c r="F20" s="771">
        <f>SUM(F18:F18)</f>
        <v>100402.46</v>
      </c>
      <c r="G20" s="1686">
        <f>F20-E20</f>
        <v>-18136.539999999994</v>
      </c>
      <c r="H20" s="1685">
        <f>F20/E20</f>
        <v>0.8469993841689234</v>
      </c>
      <c r="I20" s="771">
        <f>SUM(I18:I18)</f>
        <v>118503</v>
      </c>
    </row>
    <row r="21" spans="1:9" ht="17.25" thickTop="1" x14ac:dyDescent="0.3"/>
    <row r="24" spans="1:9" hidden="1" x14ac:dyDescent="0.3">
      <c r="A24" t="s">
        <v>299</v>
      </c>
    </row>
    <row r="25" spans="1:9" hidden="1" x14ac:dyDescent="0.3">
      <c r="A25" t="s">
        <v>298</v>
      </c>
    </row>
  </sheetData>
  <phoneticPr fontId="20" type="noConversion"/>
  <pageMargins left="0.75" right="0.75" top="1" bottom="1" header="0.5" footer="0.5"/>
  <pageSetup paperSize="5" scale="98" fitToHeight="0" orientation="portrait" r:id="rId1"/>
  <headerFooter alignWithMargins="0">
    <oddHeader xml:space="preserve">&amp;RPAGE 32
 </oddHeader>
    <oddFooter>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L23"/>
  <sheetViews>
    <sheetView workbookViewId="0">
      <selection sqref="A1:L18"/>
    </sheetView>
  </sheetViews>
  <sheetFormatPr defaultRowHeight="16.5" x14ac:dyDescent="0.3"/>
  <cols>
    <col min="1" max="1" width="10.140625" customWidth="1"/>
    <col min="2" max="2" width="32.7109375" customWidth="1"/>
    <col min="3" max="3" width="14.7109375" style="76" hidden="1" customWidth="1"/>
    <col min="4" max="4" width="26.85546875" hidden="1" customWidth="1"/>
    <col min="5" max="5" width="15.42578125" hidden="1" customWidth="1"/>
    <col min="6" max="6" width="20.7109375" style="774" hidden="1" customWidth="1"/>
    <col min="7" max="7" width="17.85546875" hidden="1" customWidth="1"/>
    <col min="8" max="8" width="21.5703125" style="76" customWidth="1"/>
    <col min="9" max="9" width="13.85546875" customWidth="1"/>
    <col min="10" max="10" width="12.7109375" hidden="1" customWidth="1"/>
    <col min="11" max="11" width="16.5703125" style="144" hidden="1" customWidth="1"/>
    <col min="12" max="12" width="19.5703125" style="204" customWidth="1"/>
  </cols>
  <sheetData>
    <row r="1" spans="1:12" ht="22.5" x14ac:dyDescent="0.4">
      <c r="A1" s="209" t="s">
        <v>197</v>
      </c>
      <c r="B1" s="209"/>
      <c r="C1" s="776"/>
      <c r="D1" s="210"/>
      <c r="E1" s="210"/>
      <c r="F1" s="210"/>
      <c r="G1" s="210"/>
      <c r="H1" s="746"/>
      <c r="I1" s="746"/>
      <c r="J1" s="746"/>
      <c r="K1" s="1687"/>
      <c r="L1" s="1740"/>
    </row>
    <row r="2" spans="1:12" ht="22.5" x14ac:dyDescent="0.4">
      <c r="A2" s="746"/>
      <c r="B2" s="945" t="s">
        <v>1155</v>
      </c>
      <c r="C2" s="346"/>
      <c r="D2" s="168"/>
      <c r="E2" s="168"/>
      <c r="F2" s="168"/>
      <c r="G2" s="168"/>
      <c r="H2" s="746"/>
      <c r="I2" s="746"/>
      <c r="J2" s="746"/>
      <c r="K2" s="1687"/>
      <c r="L2" s="1740"/>
    </row>
    <row r="3" spans="1:12" ht="23.25" thickBot="1" x14ac:dyDescent="0.45">
      <c r="A3" s="37"/>
      <c r="B3" s="37" t="s">
        <v>1107</v>
      </c>
      <c r="C3" s="772"/>
      <c r="D3" s="37"/>
      <c r="E3" s="37"/>
      <c r="F3" s="37"/>
      <c r="G3" s="37"/>
      <c r="H3" s="746"/>
      <c r="I3" s="746"/>
      <c r="J3" s="746"/>
      <c r="K3" s="1687"/>
      <c r="L3" s="1740"/>
    </row>
    <row r="4" spans="1:12" ht="62.1" customHeight="1" thickBot="1" x14ac:dyDescent="0.35">
      <c r="A4" s="1343"/>
      <c r="B4" s="1342" t="s">
        <v>561</v>
      </c>
      <c r="C4" s="775" t="s">
        <v>895</v>
      </c>
      <c r="D4" s="325" t="s">
        <v>880</v>
      </c>
      <c r="E4" s="325" t="s">
        <v>785</v>
      </c>
      <c r="F4" s="551" t="s">
        <v>944</v>
      </c>
      <c r="G4" s="1312" t="s">
        <v>943</v>
      </c>
      <c r="H4" s="1588" t="s">
        <v>1078</v>
      </c>
      <c r="I4" s="613" t="s">
        <v>1084</v>
      </c>
      <c r="J4" s="830" t="s">
        <v>798</v>
      </c>
      <c r="K4" s="1688" t="s">
        <v>1087</v>
      </c>
      <c r="L4" s="1739" t="s">
        <v>1097</v>
      </c>
    </row>
    <row r="5" spans="1:12" x14ac:dyDescent="0.3">
      <c r="A5" s="38" t="s">
        <v>559</v>
      </c>
      <c r="B5" s="38" t="s">
        <v>1089</v>
      </c>
      <c r="C5" s="774">
        <v>2100</v>
      </c>
      <c r="D5" s="795">
        <v>2174</v>
      </c>
      <c r="E5" s="795">
        <f t="shared" ref="E5:E10" si="0">D5-C5</f>
        <v>74</v>
      </c>
      <c r="F5" s="774">
        <v>2173</v>
      </c>
      <c r="G5" s="76">
        <v>1253</v>
      </c>
      <c r="H5" s="76">
        <v>2695</v>
      </c>
      <c r="I5" s="1680">
        <f>'[30]SEPTEMBER 2020'!$L$46</f>
        <v>10564.56</v>
      </c>
      <c r="J5" s="1680">
        <f>I5-H5</f>
        <v>7869.5599999999995</v>
      </c>
      <c r="K5" s="144">
        <f>I5/H5</f>
        <v>3.9200593692022263</v>
      </c>
      <c r="L5" s="204">
        <v>5000</v>
      </c>
    </row>
    <row r="6" spans="1:12" x14ac:dyDescent="0.3">
      <c r="A6" s="39" t="s">
        <v>212</v>
      </c>
      <c r="B6" s="38" t="s">
        <v>196</v>
      </c>
      <c r="C6" s="774">
        <v>388000</v>
      </c>
      <c r="D6" s="796">
        <f>[31]Sheet1!$C$97</f>
        <v>271076.08000000007</v>
      </c>
      <c r="E6" s="796">
        <f t="shared" si="0"/>
        <v>-116923.91999999993</v>
      </c>
      <c r="F6" s="774">
        <v>289000</v>
      </c>
      <c r="G6" s="76">
        <v>303025</v>
      </c>
      <c r="H6" s="76">
        <v>272000</v>
      </c>
      <c r="I6" s="76">
        <f>[29]Sheet1!$C$97</f>
        <v>291420.24999999994</v>
      </c>
      <c r="J6" s="1680">
        <f t="shared" ref="J6:J12" si="1">I6-H6</f>
        <v>19420.249999999942</v>
      </c>
      <c r="K6" s="144">
        <f t="shared" ref="K6:K12" si="2">I6/H6</f>
        <v>1.0713979779411762</v>
      </c>
      <c r="L6" s="204">
        <v>291420</v>
      </c>
    </row>
    <row r="7" spans="1:12" x14ac:dyDescent="0.3">
      <c r="A7" s="38" t="s">
        <v>622</v>
      </c>
      <c r="B7" s="38" t="s">
        <v>623</v>
      </c>
      <c r="C7" s="774">
        <v>3790</v>
      </c>
      <c r="D7" s="796"/>
      <c r="E7" s="796">
        <f t="shared" si="0"/>
        <v>-3790</v>
      </c>
      <c r="G7" s="76">
        <v>5378</v>
      </c>
      <c r="H7" s="76">
        <v>4078</v>
      </c>
      <c r="I7" s="76">
        <f>[29]Sheet1!$P$97</f>
        <v>4477.6097560975604</v>
      </c>
      <c r="J7" s="1680">
        <f t="shared" si="1"/>
        <v>399.60975609756042</v>
      </c>
      <c r="K7" s="144">
        <f t="shared" si="2"/>
        <v>1.097991602770368</v>
      </c>
      <c r="L7" s="204">
        <v>4477</v>
      </c>
    </row>
    <row r="8" spans="1:12" x14ac:dyDescent="0.3">
      <c r="A8" s="38" t="s">
        <v>641</v>
      </c>
      <c r="B8" s="38" t="s">
        <v>642</v>
      </c>
      <c r="C8" s="774">
        <v>9904</v>
      </c>
      <c r="D8" s="796">
        <f>[31]Sheet1!$L$97</f>
        <v>10128.44</v>
      </c>
      <c r="E8" s="796">
        <f t="shared" si="0"/>
        <v>224.44000000000051</v>
      </c>
      <c r="F8" s="774">
        <v>10128</v>
      </c>
      <c r="G8" s="76">
        <v>10204</v>
      </c>
      <c r="H8" s="76">
        <v>10281</v>
      </c>
      <c r="I8" s="76">
        <f>[29]Sheet1!$M$97</f>
        <v>10358.040000000001</v>
      </c>
      <c r="J8" s="1680">
        <f t="shared" si="1"/>
        <v>77.040000000000873</v>
      </c>
      <c r="K8" s="144">
        <f t="shared" si="2"/>
        <v>1.0074934344908084</v>
      </c>
      <c r="L8" s="204">
        <v>10358</v>
      </c>
    </row>
    <row r="9" spans="1:12" x14ac:dyDescent="0.3">
      <c r="A9" s="39" t="s">
        <v>597</v>
      </c>
      <c r="B9" s="38" t="s">
        <v>588</v>
      </c>
      <c r="C9" s="774"/>
      <c r="D9" s="796"/>
      <c r="E9" s="796">
        <f t="shared" si="0"/>
        <v>0</v>
      </c>
      <c r="G9" s="76"/>
    </row>
    <row r="10" spans="1:12" x14ac:dyDescent="0.3">
      <c r="A10" s="39" t="s">
        <v>45</v>
      </c>
      <c r="B10" s="38" t="s">
        <v>184</v>
      </c>
      <c r="C10" s="774">
        <v>65</v>
      </c>
      <c r="D10" s="796">
        <f>[31]Sheet1!$W$97</f>
        <v>40.470000000000006</v>
      </c>
      <c r="E10" s="796">
        <f t="shared" si="0"/>
        <v>-24.529999999999994</v>
      </c>
      <c r="F10" s="774">
        <v>40</v>
      </c>
      <c r="G10" s="76">
        <v>140</v>
      </c>
      <c r="H10" s="76">
        <v>82</v>
      </c>
      <c r="I10" s="76">
        <f>[29]Sheet1!$X$97</f>
        <v>146.22999999999999</v>
      </c>
      <c r="J10" s="1680">
        <f t="shared" si="1"/>
        <v>64.22999999999999</v>
      </c>
      <c r="K10" s="144">
        <f t="shared" si="2"/>
        <v>1.7832926829268292</v>
      </c>
      <c r="L10" s="204">
        <v>146</v>
      </c>
    </row>
    <row r="11" spans="1:12" x14ac:dyDescent="0.3">
      <c r="A11" s="38"/>
      <c r="B11" s="40"/>
      <c r="C11" s="774"/>
      <c r="D11" s="797"/>
      <c r="E11" s="797"/>
    </row>
    <row r="12" spans="1:12" ht="18.75" thickBot="1" x14ac:dyDescent="0.4">
      <c r="A12" s="115"/>
      <c r="B12" s="115" t="s">
        <v>474</v>
      </c>
      <c r="C12" s="799">
        <f>SUM(C5:C11)</f>
        <v>403859</v>
      </c>
      <c r="D12" s="798">
        <f>SUM(D5:D11)</f>
        <v>283418.99000000005</v>
      </c>
      <c r="E12" s="798">
        <f>SUM(E5:E11)</f>
        <v>-120440.00999999992</v>
      </c>
      <c r="F12" s="799">
        <f>SUM(F5:F11)</f>
        <v>301341</v>
      </c>
      <c r="G12" s="799">
        <f t="shared" ref="G12:I12" si="3">SUM(G5:G11)</f>
        <v>320000</v>
      </c>
      <c r="H12" s="799">
        <f t="shared" si="3"/>
        <v>289136</v>
      </c>
      <c r="I12" s="799">
        <f t="shared" si="3"/>
        <v>316966.68975609745</v>
      </c>
      <c r="J12" s="1689">
        <f t="shared" si="1"/>
        <v>27830.689756097447</v>
      </c>
      <c r="K12" s="1690">
        <f t="shared" si="2"/>
        <v>1.0962546682395047</v>
      </c>
      <c r="L12" s="799">
        <f t="shared" ref="L12" si="4">SUM(L5:L11)</f>
        <v>311401</v>
      </c>
    </row>
    <row r="13" spans="1:12" ht="19.5" thickTop="1" thickBot="1" x14ac:dyDescent="0.4">
      <c r="A13" s="127"/>
      <c r="B13" s="127"/>
      <c r="C13" s="774"/>
      <c r="D13" s="800"/>
      <c r="E13" s="800"/>
    </row>
    <row r="14" spans="1:12" ht="54.95" customHeight="1" thickBot="1" x14ac:dyDescent="0.35">
      <c r="A14" s="219"/>
      <c r="B14" s="1345" t="s">
        <v>562</v>
      </c>
      <c r="C14" s="775" t="s">
        <v>895</v>
      </c>
      <c r="D14" s="325" t="s">
        <v>881</v>
      </c>
      <c r="E14" s="325" t="s">
        <v>785</v>
      </c>
      <c r="F14" s="551" t="s">
        <v>944</v>
      </c>
      <c r="G14" s="1312" t="s">
        <v>943</v>
      </c>
      <c r="H14" s="1588" t="s">
        <v>1078</v>
      </c>
      <c r="I14" s="1679" t="s">
        <v>1091</v>
      </c>
      <c r="J14" s="190" t="s">
        <v>798</v>
      </c>
      <c r="K14" s="1683" t="s">
        <v>1092</v>
      </c>
    </row>
    <row r="15" spans="1:12" x14ac:dyDescent="0.3">
      <c r="A15" s="49"/>
      <c r="C15" s="774"/>
      <c r="D15" s="801"/>
      <c r="E15" s="801"/>
    </row>
    <row r="16" spans="1:12" x14ac:dyDescent="0.3">
      <c r="A16" s="50" t="s">
        <v>470</v>
      </c>
      <c r="B16" s="49" t="s">
        <v>471</v>
      </c>
      <c r="C16" s="774">
        <f>C12</f>
        <v>403859</v>
      </c>
      <c r="D16" s="796">
        <v>277306.08</v>
      </c>
      <c r="E16" s="796">
        <f>D16-C16</f>
        <v>-126552.91999999998</v>
      </c>
      <c r="F16" s="774">
        <f>F12</f>
        <v>301341</v>
      </c>
      <c r="G16" s="76">
        <v>320000</v>
      </c>
      <c r="H16" s="76">
        <v>289136</v>
      </c>
      <c r="I16" s="76">
        <f>[13]DETAIL!$D$172-[13]DETAIL!$C$170-[13]DETAIL!$C$161</f>
        <v>275071.75</v>
      </c>
      <c r="J16" s="76">
        <f>I16-H16</f>
        <v>-14064.25</v>
      </c>
      <c r="K16" s="428">
        <f>I16/H16</f>
        <v>0.95135766559681256</v>
      </c>
      <c r="L16" s="204">
        <v>311401</v>
      </c>
    </row>
    <row r="17" spans="1:12" ht="17.25" thickBot="1" x14ac:dyDescent="0.35">
      <c r="A17" s="50" t="s">
        <v>701</v>
      </c>
      <c r="B17" s="49" t="s">
        <v>702</v>
      </c>
      <c r="C17" s="774"/>
      <c r="D17" s="797"/>
      <c r="E17" s="797"/>
    </row>
    <row r="18" spans="1:12" ht="19.5" thickTop="1" thickBot="1" x14ac:dyDescent="0.4">
      <c r="A18" s="113"/>
      <c r="B18" s="114" t="s">
        <v>473</v>
      </c>
      <c r="C18" s="803">
        <f t="shared" ref="C18:J18" si="5">SUM(C16:C16)</f>
        <v>403859</v>
      </c>
      <c r="D18" s="802">
        <f t="shared" si="5"/>
        <v>277306.08</v>
      </c>
      <c r="E18" s="802">
        <f t="shared" si="5"/>
        <v>-126552.91999999998</v>
      </c>
      <c r="F18" s="803">
        <f t="shared" si="5"/>
        <v>301341</v>
      </c>
      <c r="G18" s="803">
        <f t="shared" si="5"/>
        <v>320000</v>
      </c>
      <c r="H18" s="803">
        <f t="shared" si="5"/>
        <v>289136</v>
      </c>
      <c r="I18" s="803">
        <f t="shared" si="5"/>
        <v>275071.75</v>
      </c>
      <c r="J18" s="217">
        <f t="shared" si="5"/>
        <v>-14064.25</v>
      </c>
      <c r="K18" s="1685">
        <f>I18/H18</f>
        <v>0.95135766559681256</v>
      </c>
      <c r="L18" s="803">
        <f>SUM(L16:L16)</f>
        <v>311401</v>
      </c>
    </row>
    <row r="19" spans="1:12" ht="17.25" thickTop="1" x14ac:dyDescent="0.3"/>
    <row r="22" spans="1:12" hidden="1" x14ac:dyDescent="0.3">
      <c r="A22" t="s">
        <v>299</v>
      </c>
    </row>
    <row r="23" spans="1:12" hidden="1" x14ac:dyDescent="0.3">
      <c r="A23" t="s">
        <v>298</v>
      </c>
    </row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Header xml:space="preserve">&amp;RPAGE 33
</oddHeader>
    <oddFooter>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18"/>
  <sheetViews>
    <sheetView workbookViewId="0">
      <selection sqref="A1:O17"/>
    </sheetView>
  </sheetViews>
  <sheetFormatPr defaultRowHeight="16.5" x14ac:dyDescent="0.3"/>
  <cols>
    <col min="1" max="1" width="13.7109375" customWidth="1"/>
    <col min="2" max="2" width="31.7109375" customWidth="1"/>
    <col min="3" max="4" width="13.7109375" hidden="1" customWidth="1"/>
    <col min="5" max="5" width="5.140625" hidden="1" customWidth="1"/>
    <col min="6" max="6" width="13.42578125" hidden="1" customWidth="1"/>
    <col min="7" max="7" width="21" style="85" hidden="1" customWidth="1"/>
    <col min="8" max="8" width="16.85546875" style="85" hidden="1" customWidth="1"/>
    <col min="9" max="9" width="19.5703125" style="774" hidden="1" customWidth="1"/>
    <col min="10" max="10" width="20.28515625" style="774" hidden="1" customWidth="1"/>
    <col min="11" max="11" width="16.28515625" hidden="1" customWidth="1"/>
    <col min="12" max="12" width="20.5703125" customWidth="1"/>
    <col min="13" max="13" width="21.85546875" customWidth="1"/>
    <col min="14" max="14" width="19.42578125" customWidth="1"/>
  </cols>
  <sheetData>
    <row r="1" spans="1:14" ht="22.5" x14ac:dyDescent="0.4">
      <c r="A1" s="265"/>
      <c r="B1" s="37" t="s">
        <v>771</v>
      </c>
      <c r="C1" s="1"/>
      <c r="D1" s="1"/>
      <c r="E1" s="2"/>
      <c r="F1" s="174"/>
      <c r="G1" s="122"/>
      <c r="H1" s="122"/>
      <c r="I1" s="122"/>
      <c r="J1" s="122"/>
      <c r="K1" s="122"/>
      <c r="L1" s="37"/>
      <c r="M1" s="37"/>
    </row>
    <row r="2" spans="1:14" ht="22.5" x14ac:dyDescent="0.4">
      <c r="A2" s="37"/>
      <c r="B2" s="20" t="s">
        <v>1155</v>
      </c>
      <c r="C2" s="4"/>
      <c r="D2" s="3"/>
      <c r="E2" s="5"/>
      <c r="F2" s="168"/>
      <c r="G2" s="123"/>
      <c r="H2" s="123"/>
      <c r="I2" s="123"/>
      <c r="J2" s="123"/>
      <c r="K2" s="123"/>
      <c r="L2" s="37"/>
      <c r="M2" s="37"/>
    </row>
    <row r="3" spans="1:14" ht="22.5" x14ac:dyDescent="0.4">
      <c r="A3" s="37"/>
      <c r="B3" s="20" t="s">
        <v>1107</v>
      </c>
      <c r="C3" s="4"/>
      <c r="D3" s="3"/>
      <c r="E3" s="5"/>
      <c r="F3" s="168"/>
      <c r="G3" s="123"/>
      <c r="H3" s="123"/>
      <c r="I3" s="123"/>
      <c r="J3" s="123"/>
      <c r="K3" s="123"/>
      <c r="L3" s="37"/>
      <c r="M3" s="37"/>
    </row>
    <row r="4" spans="1:14" ht="17.25" thickBot="1" x14ac:dyDescent="0.35">
      <c r="A4" s="41"/>
      <c r="B4" s="41"/>
      <c r="C4" s="10"/>
      <c r="D4" s="10"/>
      <c r="E4" s="11"/>
    </row>
    <row r="5" spans="1:14" ht="54.95" customHeight="1" thickBot="1" x14ac:dyDescent="0.4">
      <c r="A5" s="1346"/>
      <c r="B5" s="1347" t="s">
        <v>952</v>
      </c>
      <c r="C5" s="12" t="s">
        <v>94</v>
      </c>
      <c r="D5" s="13" t="s">
        <v>96</v>
      </c>
      <c r="E5" s="126" t="s">
        <v>494</v>
      </c>
      <c r="F5" s="13" t="s">
        <v>0</v>
      </c>
      <c r="G5" s="775" t="s">
        <v>895</v>
      </c>
      <c r="H5" s="325" t="s">
        <v>880</v>
      </c>
      <c r="I5" s="325" t="s">
        <v>785</v>
      </c>
      <c r="J5" s="551" t="s">
        <v>944</v>
      </c>
      <c r="K5" s="1324" t="s">
        <v>943</v>
      </c>
      <c r="L5" s="1588" t="s">
        <v>1074</v>
      </c>
      <c r="M5" s="1753" t="s">
        <v>1122</v>
      </c>
      <c r="N5" s="1528" t="s">
        <v>1127</v>
      </c>
    </row>
    <row r="6" spans="1:14" x14ac:dyDescent="0.3">
      <c r="A6" s="41" t="s">
        <v>559</v>
      </c>
      <c r="B6" s="41" t="s">
        <v>519</v>
      </c>
      <c r="C6" s="78"/>
      <c r="D6" s="71"/>
      <c r="E6" s="129">
        <v>500</v>
      </c>
      <c r="F6" s="177"/>
      <c r="G6" s="790">
        <v>565</v>
      </c>
      <c r="H6" s="788">
        <v>7306.38</v>
      </c>
      <c r="I6" s="789">
        <f>H6-G6</f>
        <v>6741.38</v>
      </c>
      <c r="J6" s="790">
        <v>10278</v>
      </c>
      <c r="K6" s="185">
        <v>6039</v>
      </c>
      <c r="L6" s="1634">
        <v>4050</v>
      </c>
      <c r="M6" s="1634">
        <v>2425</v>
      </c>
      <c r="N6" s="1768">
        <v>2425</v>
      </c>
    </row>
    <row r="7" spans="1:14" x14ac:dyDescent="0.3">
      <c r="A7" s="41" t="s">
        <v>22</v>
      </c>
      <c r="B7" s="41" t="s">
        <v>563</v>
      </c>
      <c r="C7" s="78"/>
      <c r="D7" s="71"/>
      <c r="E7" s="129">
        <v>12000</v>
      </c>
      <c r="F7" s="177"/>
      <c r="G7" s="195"/>
      <c r="H7" s="780"/>
      <c r="I7" s="789">
        <f>H7-G7</f>
        <v>0</v>
      </c>
      <c r="J7" s="195"/>
      <c r="K7" s="185"/>
      <c r="N7" s="1504"/>
    </row>
    <row r="8" spans="1:14" x14ac:dyDescent="0.3">
      <c r="A8" s="42" t="s">
        <v>610</v>
      </c>
      <c r="B8" s="41" t="s">
        <v>611</v>
      </c>
      <c r="C8" s="78"/>
      <c r="D8" s="71"/>
      <c r="E8" s="129"/>
      <c r="F8" s="177"/>
      <c r="G8" s="195">
        <v>2620</v>
      </c>
      <c r="H8" s="780">
        <v>5287.08</v>
      </c>
      <c r="I8" s="789">
        <f>H8-G8</f>
        <v>2667.08</v>
      </c>
      <c r="J8" s="195">
        <v>5300</v>
      </c>
      <c r="K8" s="185">
        <v>6545</v>
      </c>
      <c r="L8" s="1634">
        <v>7545</v>
      </c>
      <c r="M8" s="76">
        <f>[29]Sheet1!$D$81</f>
        <v>5536.09</v>
      </c>
      <c r="N8" s="1769">
        <v>5500</v>
      </c>
    </row>
    <row r="9" spans="1:14" x14ac:dyDescent="0.3">
      <c r="A9" s="42" t="s">
        <v>201</v>
      </c>
      <c r="B9" s="41" t="s">
        <v>198</v>
      </c>
      <c r="C9" s="10">
        <v>19720.5</v>
      </c>
      <c r="D9" s="10">
        <v>20023.5</v>
      </c>
      <c r="E9" s="128">
        <v>9000</v>
      </c>
      <c r="F9" s="177"/>
      <c r="G9" s="195">
        <v>26142</v>
      </c>
      <c r="H9" s="781">
        <v>23452.27</v>
      </c>
      <c r="I9" s="789">
        <f>H9-G9</f>
        <v>-2689.7299999999996</v>
      </c>
      <c r="J9" s="195">
        <v>23450</v>
      </c>
      <c r="K9" s="185">
        <v>17360</v>
      </c>
      <c r="L9" s="1634">
        <v>18358</v>
      </c>
      <c r="M9" s="76">
        <f>[29]Sheet1!$I$81</f>
        <v>22795.479999999996</v>
      </c>
      <c r="N9" s="1769">
        <v>22795</v>
      </c>
    </row>
    <row r="10" spans="1:14" ht="17.25" thickBot="1" x14ac:dyDescent="0.35">
      <c r="A10" s="130" t="s">
        <v>45</v>
      </c>
      <c r="B10" s="131" t="s">
        <v>184</v>
      </c>
      <c r="C10" s="15">
        <v>240.43</v>
      </c>
      <c r="D10" s="15">
        <v>3411.64</v>
      </c>
      <c r="E10" s="132">
        <v>50</v>
      </c>
      <c r="F10" s="107"/>
      <c r="G10" s="195">
        <v>9</v>
      </c>
      <c r="H10" s="782">
        <v>11.52</v>
      </c>
      <c r="I10" s="789">
        <f>H10-G10</f>
        <v>2.5199999999999996</v>
      </c>
      <c r="J10" s="195">
        <v>15</v>
      </c>
      <c r="K10" s="185">
        <v>56</v>
      </c>
      <c r="L10" s="1635">
        <v>47</v>
      </c>
      <c r="M10" s="76">
        <f>[29]Sheet1!$X$81</f>
        <v>8.35</v>
      </c>
      <c r="N10" s="1770">
        <v>8</v>
      </c>
    </row>
    <row r="11" spans="1:14" ht="19.5" thickTop="1" thickBot="1" x14ac:dyDescent="0.4">
      <c r="A11" s="171"/>
      <c r="B11" s="171" t="s">
        <v>75</v>
      </c>
      <c r="C11" s="109">
        <v>269916.87</v>
      </c>
      <c r="D11" s="109">
        <v>301845.98000000004</v>
      </c>
      <c r="E11" s="109">
        <f>SUM(E6:E10)</f>
        <v>21550</v>
      </c>
      <c r="F11" s="208"/>
      <c r="G11" s="787">
        <f>SUM(G6:G10)</f>
        <v>29336</v>
      </c>
      <c r="H11" s="783">
        <f>SUM(H6:H10)</f>
        <v>36057.249999999993</v>
      </c>
      <c r="I11" s="786">
        <f>SUM(I7:I10)</f>
        <v>-20.129999999999637</v>
      </c>
      <c r="J11" s="787">
        <f>SUM(J6:J10)</f>
        <v>39043</v>
      </c>
      <c r="K11" s="787">
        <f t="shared" ref="K11:N11" si="0">SUM(K6:K10)</f>
        <v>30000</v>
      </c>
      <c r="L11" s="787">
        <f t="shared" si="0"/>
        <v>30000</v>
      </c>
      <c r="M11" s="787">
        <f t="shared" si="0"/>
        <v>30764.919999999995</v>
      </c>
      <c r="N11" s="1771">
        <f t="shared" si="0"/>
        <v>30728</v>
      </c>
    </row>
    <row r="12" spans="1:14" ht="19.5" thickTop="1" thickBot="1" x14ac:dyDescent="0.4">
      <c r="A12" s="777"/>
      <c r="B12" s="777"/>
      <c r="C12" s="778"/>
      <c r="D12" s="778"/>
      <c r="E12" s="778"/>
      <c r="F12" s="64"/>
      <c r="G12" s="774"/>
      <c r="H12" s="779"/>
      <c r="N12" s="1504"/>
    </row>
    <row r="13" spans="1:14" ht="50.1" customHeight="1" thickBot="1" x14ac:dyDescent="0.35">
      <c r="A13" s="219"/>
      <c r="B13" s="1345" t="s">
        <v>374</v>
      </c>
      <c r="G13" s="775" t="s">
        <v>895</v>
      </c>
      <c r="H13" s="325" t="s">
        <v>881</v>
      </c>
      <c r="I13" s="325" t="s">
        <v>785</v>
      </c>
      <c r="J13" s="551" t="s">
        <v>944</v>
      </c>
      <c r="K13" s="1312" t="s">
        <v>943</v>
      </c>
      <c r="L13" s="1588" t="s">
        <v>1075</v>
      </c>
      <c r="M13" s="1754" t="s">
        <v>1123</v>
      </c>
      <c r="N13" s="1504"/>
    </row>
    <row r="14" spans="1:14" x14ac:dyDescent="0.3">
      <c r="A14" s="49"/>
      <c r="C14" s="78"/>
      <c r="D14" s="78"/>
      <c r="E14" s="78"/>
      <c r="F14" s="177"/>
      <c r="G14" s="195"/>
      <c r="H14" s="124"/>
      <c r="I14" s="784"/>
      <c r="J14" s="195"/>
      <c r="N14" s="1504"/>
    </row>
    <row r="15" spans="1:14" x14ac:dyDescent="0.3">
      <c r="A15" s="50" t="s">
        <v>464</v>
      </c>
      <c r="B15" s="49" t="s">
        <v>472</v>
      </c>
      <c r="C15" s="10">
        <v>133259</v>
      </c>
      <c r="D15" s="10">
        <v>138838.63</v>
      </c>
      <c r="E15" s="70">
        <v>34285</v>
      </c>
      <c r="F15" s="177"/>
      <c r="G15" s="195">
        <f>G11</f>
        <v>29336</v>
      </c>
      <c r="H15" s="742">
        <v>27000</v>
      </c>
      <c r="I15" s="784">
        <f>H15-G15</f>
        <v>-2336</v>
      </c>
      <c r="J15" s="195">
        <f>J11</f>
        <v>39043</v>
      </c>
      <c r="K15" s="76">
        <v>30000</v>
      </c>
      <c r="L15" s="76">
        <v>30000</v>
      </c>
      <c r="M15" s="204">
        <f>26200</f>
        <v>26200</v>
      </c>
      <c r="N15" s="1711">
        <v>30728</v>
      </c>
    </row>
    <row r="16" spans="1:14" ht="17.25" thickBot="1" x14ac:dyDescent="0.35">
      <c r="A16" s="50"/>
      <c r="B16" s="49"/>
      <c r="C16" s="11"/>
      <c r="D16" s="11"/>
      <c r="E16" s="70"/>
      <c r="F16" s="107"/>
      <c r="G16" s="195"/>
      <c r="H16" s="637"/>
      <c r="I16" s="785"/>
      <c r="J16" s="195"/>
      <c r="N16" s="1504"/>
    </row>
    <row r="17" spans="1:14" ht="19.5" thickTop="1" thickBot="1" x14ac:dyDescent="0.4">
      <c r="A17" s="113"/>
      <c r="B17" s="114" t="s">
        <v>473</v>
      </c>
      <c r="C17" s="51">
        <f>SUM(C15:C15)</f>
        <v>133259</v>
      </c>
      <c r="D17" s="51">
        <f>SUM(D15:D15)</f>
        <v>138838.63</v>
      </c>
      <c r="E17" s="112">
        <f>SUM(E15:E15)</f>
        <v>34285</v>
      </c>
      <c r="F17" s="208"/>
      <c r="G17" s="787">
        <f>SUM(G15:G16)</f>
        <v>29336</v>
      </c>
      <c r="H17" s="741">
        <f>SUM(H15:H15)</f>
        <v>27000</v>
      </c>
      <c r="I17" s="786">
        <f>SUM(I15:I16)</f>
        <v>-2336</v>
      </c>
      <c r="J17" s="787">
        <f>SUM(J15:J16)</f>
        <v>39043</v>
      </c>
      <c r="K17" s="787">
        <f t="shared" ref="K17:N17" si="1">SUM(K15:K16)</f>
        <v>30000</v>
      </c>
      <c r="L17" s="787">
        <f t="shared" si="1"/>
        <v>30000</v>
      </c>
      <c r="M17" s="787">
        <f t="shared" si="1"/>
        <v>26200</v>
      </c>
      <c r="N17" s="1771">
        <f t="shared" si="1"/>
        <v>30728</v>
      </c>
    </row>
    <row r="18" spans="1:14" ht="17.25" thickTop="1" x14ac:dyDescent="0.3"/>
  </sheetData>
  <phoneticPr fontId="0" type="noConversion"/>
  <printOptions horizontalCentered="1"/>
  <pageMargins left="0" right="0" top="0.5" bottom="0.5" header="0.3" footer="0.3"/>
  <pageSetup paperSize="5" scale="89" fitToHeight="2" orientation="portrait" r:id="rId1"/>
  <headerFooter>
    <oddHeader>&amp;RPAGE 34</oddHeader>
    <oddFooter>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9"/>
  <sheetViews>
    <sheetView workbookViewId="0">
      <selection sqref="A1:N17"/>
    </sheetView>
  </sheetViews>
  <sheetFormatPr defaultRowHeight="15" x14ac:dyDescent="0.25"/>
  <cols>
    <col min="1" max="1" width="16.140625" customWidth="1"/>
    <col min="2" max="2" width="34" customWidth="1"/>
    <col min="3" max="3" width="12.7109375" hidden="1" customWidth="1"/>
    <col min="4" max="4" width="4.28515625" hidden="1" customWidth="1"/>
    <col min="5" max="5" width="13.85546875" hidden="1" customWidth="1"/>
    <col min="6" max="6" width="21.85546875" hidden="1" customWidth="1"/>
    <col min="7" max="7" width="13.7109375" hidden="1" customWidth="1"/>
    <col min="8" max="8" width="20.140625" style="76" hidden="1" customWidth="1"/>
    <col min="9" max="9" width="20.28515625" style="144" hidden="1" customWidth="1"/>
    <col min="10" max="10" width="20.5703125" style="76" customWidth="1"/>
    <col min="11" max="11" width="12.140625" customWidth="1"/>
    <col min="12" max="12" width="12.42578125" hidden="1" customWidth="1"/>
    <col min="13" max="13" width="13.7109375" style="144" hidden="1" customWidth="1"/>
    <col min="14" max="14" width="16.140625" style="204" customWidth="1"/>
  </cols>
  <sheetData>
    <row r="1" spans="1:14" ht="22.5" x14ac:dyDescent="0.4">
      <c r="A1" s="52"/>
      <c r="B1" s="743" t="s">
        <v>916</v>
      </c>
      <c r="C1" s="1"/>
      <c r="D1" s="2"/>
      <c r="E1" s="744" t="s">
        <v>787</v>
      </c>
      <c r="F1" s="212"/>
      <c r="G1" s="212"/>
      <c r="H1" s="794"/>
      <c r="I1" s="213"/>
      <c r="J1" s="1377"/>
      <c r="K1" s="1377"/>
      <c r="L1" s="1377"/>
      <c r="M1" s="1377"/>
      <c r="N1" s="1738"/>
    </row>
    <row r="2" spans="1:14" ht="22.5" x14ac:dyDescent="0.4">
      <c r="A2" s="53"/>
      <c r="B2" s="743" t="s">
        <v>1155</v>
      </c>
      <c r="C2" s="3"/>
      <c r="D2" s="5"/>
      <c r="E2" s="1376"/>
      <c r="F2" s="105"/>
      <c r="G2" s="105"/>
      <c r="H2" s="772"/>
      <c r="I2" s="1377"/>
      <c r="J2" s="1377"/>
      <c r="K2" s="1377"/>
      <c r="L2" s="1377"/>
      <c r="M2" s="1377"/>
      <c r="N2" s="1738"/>
    </row>
    <row r="3" spans="1:14" ht="23.25" thickBot="1" x14ac:dyDescent="0.45">
      <c r="A3" s="37"/>
      <c r="B3" s="264" t="s">
        <v>1107</v>
      </c>
      <c r="C3" s="4"/>
      <c r="D3" s="3"/>
      <c r="E3" s="5"/>
      <c r="F3" s="5"/>
      <c r="G3" s="5"/>
      <c r="H3" s="5"/>
      <c r="I3" s="168"/>
      <c r="J3" s="1377"/>
      <c r="K3" s="1377"/>
      <c r="L3" s="1377"/>
      <c r="M3" s="1377"/>
      <c r="N3" s="1738"/>
    </row>
    <row r="4" spans="1:14" ht="65.099999999999994" customHeight="1" thickBot="1" x14ac:dyDescent="0.35">
      <c r="A4" s="219"/>
      <c r="B4" s="1364" t="s">
        <v>952</v>
      </c>
      <c r="C4" s="71" t="s">
        <v>305</v>
      </c>
      <c r="D4" s="71" t="s">
        <v>564</v>
      </c>
      <c r="E4" s="1350" t="s">
        <v>838</v>
      </c>
      <c r="F4" s="1351" t="s">
        <v>900</v>
      </c>
      <c r="G4" s="1351" t="s">
        <v>785</v>
      </c>
      <c r="H4" s="1348" t="s">
        <v>944</v>
      </c>
      <c r="I4" s="1324" t="s">
        <v>943</v>
      </c>
      <c r="J4" s="1588" t="s">
        <v>1078</v>
      </c>
      <c r="K4" s="613" t="s">
        <v>1084</v>
      </c>
      <c r="L4" s="830" t="s">
        <v>798</v>
      </c>
      <c r="M4" s="1688" t="s">
        <v>1087</v>
      </c>
      <c r="N4" s="1741" t="s">
        <v>1097</v>
      </c>
    </row>
    <row r="5" spans="1:14" ht="16.5" x14ac:dyDescent="0.3">
      <c r="A5" s="297" t="s">
        <v>362</v>
      </c>
      <c r="B5" s="298" t="s">
        <v>1093</v>
      </c>
      <c r="C5" s="1356"/>
      <c r="D5" s="1357">
        <f>'[6]FUND 116,511'!$D$12</f>
        <v>525441</v>
      </c>
      <c r="E5" s="1358">
        <v>6746</v>
      </c>
      <c r="F5" s="1359">
        <v>30223.77</v>
      </c>
      <c r="G5" s="1358">
        <f>F5-E5</f>
        <v>23477.77</v>
      </c>
      <c r="H5" s="1358">
        <v>1000</v>
      </c>
      <c r="I5" s="485">
        <v>9324</v>
      </c>
      <c r="J5" s="1613">
        <v>2311</v>
      </c>
      <c r="K5" s="1691">
        <f>'[32]SEPTEMBER 2020'!$K$48</f>
        <v>58657.38</v>
      </c>
      <c r="L5" s="76">
        <f>K5-J5</f>
        <v>56346.38</v>
      </c>
      <c r="M5" s="144">
        <f>K5/J5</f>
        <v>25.38181739506707</v>
      </c>
      <c r="N5" s="1570">
        <v>58657</v>
      </c>
    </row>
    <row r="6" spans="1:14" ht="16.5" x14ac:dyDescent="0.3">
      <c r="A6" s="647"/>
      <c r="B6" s="302" t="s">
        <v>213</v>
      </c>
      <c r="C6" s="102"/>
      <c r="D6" s="211">
        <f>'[6]FUND 116,511'!$D$13</f>
        <v>134075</v>
      </c>
      <c r="E6" s="383">
        <v>202345</v>
      </c>
      <c r="F6" s="791">
        <v>202098.5</v>
      </c>
      <c r="G6" s="383">
        <f>F6-E6</f>
        <v>-246.5</v>
      </c>
      <c r="H6" s="383">
        <v>202098</v>
      </c>
      <c r="I6" s="303">
        <v>202000</v>
      </c>
      <c r="J6" s="76">
        <v>213514</v>
      </c>
      <c r="K6" s="76">
        <f>[29]Sheet1!$Y$16+[29]Sheet1!$X$16</f>
        <v>228879.13</v>
      </c>
      <c r="L6" s="76">
        <f>K6-J6</f>
        <v>15365.130000000005</v>
      </c>
      <c r="M6" s="144">
        <f>K6/J6</f>
        <v>1.0719631031220436</v>
      </c>
      <c r="N6" s="1570">
        <v>202000</v>
      </c>
    </row>
    <row r="7" spans="1:14" ht="17.25" thickBot="1" x14ac:dyDescent="0.35">
      <c r="A7" s="1098"/>
      <c r="B7" s="97" t="s">
        <v>826</v>
      </c>
      <c r="C7" s="404"/>
      <c r="D7" s="404"/>
      <c r="E7" s="1361"/>
      <c r="F7" s="1362">
        <v>60000</v>
      </c>
      <c r="G7" s="1361">
        <f>F7-E7</f>
        <v>60000</v>
      </c>
      <c r="H7" s="1361">
        <v>41000</v>
      </c>
      <c r="I7" s="306">
        <v>74000</v>
      </c>
      <c r="J7" s="1615">
        <v>0</v>
      </c>
      <c r="N7" s="204">
        <v>74000</v>
      </c>
    </row>
    <row r="8" spans="1:14" ht="18.75" thickBot="1" x14ac:dyDescent="0.4">
      <c r="A8" s="1352"/>
      <c r="B8" s="1353" t="s">
        <v>366</v>
      </c>
      <c r="C8" s="1354"/>
      <c r="D8" s="1355">
        <f>SUM(D5:D7)</f>
        <v>659516</v>
      </c>
      <c r="E8" s="1349">
        <f>SUM(E5:E7)</f>
        <v>209091</v>
      </c>
      <c r="F8" s="1349">
        <f>SUM(F5:F7)</f>
        <v>292322.27</v>
      </c>
      <c r="G8" s="1349">
        <f>SUM(G5:G7)</f>
        <v>83231.27</v>
      </c>
      <c r="H8" s="1349">
        <f>SUM(H5:H7)</f>
        <v>244098</v>
      </c>
      <c r="I8" s="1349">
        <f t="shared" ref="I8:N8" si="0">SUM(I5:I7)</f>
        <v>285324</v>
      </c>
      <c r="J8" s="1349">
        <f t="shared" si="0"/>
        <v>215825</v>
      </c>
      <c r="K8" s="1349">
        <f t="shared" si="0"/>
        <v>287536.51</v>
      </c>
      <c r="L8" s="1349">
        <f t="shared" si="0"/>
        <v>71711.510000000009</v>
      </c>
      <c r="M8" s="1692">
        <f>K8/J8</f>
        <v>1.3322669292250666</v>
      </c>
      <c r="N8" s="1742">
        <f t="shared" si="0"/>
        <v>334657</v>
      </c>
    </row>
    <row r="9" spans="1:14" ht="19.5" thickTop="1" thickBot="1" x14ac:dyDescent="0.4">
      <c r="A9" s="64"/>
      <c r="B9" s="133"/>
      <c r="C9" s="134"/>
      <c r="D9" s="135"/>
      <c r="E9" s="357"/>
      <c r="F9" s="793"/>
      <c r="G9" s="792"/>
      <c r="H9" s="357"/>
      <c r="I9" s="76"/>
    </row>
    <row r="10" spans="1:14" ht="47.25" thickBot="1" x14ac:dyDescent="0.4">
      <c r="A10" s="1315"/>
      <c r="B10" s="1365" t="s">
        <v>674</v>
      </c>
      <c r="C10" s="65"/>
      <c r="D10" s="65"/>
      <c r="E10" s="512"/>
      <c r="F10" s="624"/>
      <c r="G10" s="357"/>
      <c r="H10" s="1348" t="s">
        <v>944</v>
      </c>
      <c r="I10" s="1448" t="s">
        <v>943</v>
      </c>
      <c r="J10" s="1588" t="s">
        <v>1078</v>
      </c>
      <c r="K10" s="613" t="s">
        <v>1095</v>
      </c>
      <c r="L10" s="830" t="s">
        <v>798</v>
      </c>
      <c r="M10" s="1688" t="s">
        <v>1094</v>
      </c>
    </row>
    <row r="11" spans="1:14" ht="16.5" x14ac:dyDescent="0.3">
      <c r="A11" s="1093"/>
      <c r="B11" s="1367"/>
      <c r="C11" s="1368"/>
      <c r="D11" s="1368"/>
      <c r="E11" s="1358"/>
      <c r="F11" s="1359"/>
      <c r="G11" s="1358"/>
      <c r="H11" s="1358"/>
      <c r="I11" s="485"/>
    </row>
    <row r="12" spans="1:14" ht="16.5" x14ac:dyDescent="0.3">
      <c r="A12" s="1369">
        <v>62100</v>
      </c>
      <c r="B12" s="302" t="s">
        <v>1096</v>
      </c>
      <c r="C12" s="1370"/>
      <c r="D12" s="211">
        <f>'[6]FUND 116,511'!$D$17</f>
        <v>326465</v>
      </c>
      <c r="E12" s="383">
        <f>E8</f>
        <v>209091</v>
      </c>
      <c r="F12" s="791">
        <v>78244.84</v>
      </c>
      <c r="G12" s="383">
        <f>F12-E12</f>
        <v>-130846.16</v>
      </c>
      <c r="H12" s="383">
        <v>73098</v>
      </c>
      <c r="I12" s="303">
        <v>112000</v>
      </c>
      <c r="J12" s="76">
        <v>95825</v>
      </c>
      <c r="K12" s="76">
        <f>[13]DETAIL!$D$135</f>
        <v>144533.82</v>
      </c>
      <c r="L12" s="76">
        <f>K12-J12</f>
        <v>48708.820000000007</v>
      </c>
      <c r="M12" s="144">
        <f>K12/J12</f>
        <v>1.5083101487085835</v>
      </c>
      <c r="N12" s="204">
        <v>130328.5</v>
      </c>
    </row>
    <row r="13" spans="1:14" ht="16.5" x14ac:dyDescent="0.3">
      <c r="A13" s="1369"/>
      <c r="B13" s="302" t="s">
        <v>827</v>
      </c>
      <c r="C13" s="1370"/>
      <c r="D13" s="211"/>
      <c r="E13" s="383"/>
      <c r="F13" s="791"/>
      <c r="G13" s="383"/>
      <c r="H13" s="383">
        <v>60000</v>
      </c>
      <c r="I13" s="303">
        <v>30000</v>
      </c>
      <c r="J13" s="76">
        <v>30000</v>
      </c>
      <c r="N13" s="204">
        <v>56328.5</v>
      </c>
    </row>
    <row r="14" spans="1:14" ht="16.5" x14ac:dyDescent="0.3">
      <c r="A14" s="1369"/>
      <c r="B14" s="302" t="s">
        <v>828</v>
      </c>
      <c r="C14" s="1370"/>
      <c r="D14" s="211"/>
      <c r="E14" s="383"/>
      <c r="F14" s="791">
        <v>100762.5</v>
      </c>
      <c r="G14" s="383">
        <f>F14-E14</f>
        <v>100762.5</v>
      </c>
      <c r="H14" s="383">
        <v>101000</v>
      </c>
      <c r="I14" s="303">
        <v>143324</v>
      </c>
      <c r="J14" s="76">
        <v>60000</v>
      </c>
      <c r="N14" s="204">
        <v>78000</v>
      </c>
    </row>
    <row r="15" spans="1:14" ht="17.25" thickBot="1" x14ac:dyDescent="0.35">
      <c r="A15" s="1371">
        <v>231</v>
      </c>
      <c r="B15" s="1372" t="s">
        <v>901</v>
      </c>
      <c r="C15" s="1373"/>
      <c r="D15" s="1374">
        <f>'[6]FUND 116,511'!$D$18</f>
        <v>333051</v>
      </c>
      <c r="E15" s="1375"/>
      <c r="F15" s="1375">
        <v>15000</v>
      </c>
      <c r="G15" s="1361">
        <f>F15-E15</f>
        <v>15000</v>
      </c>
      <c r="H15" s="1375">
        <v>10000</v>
      </c>
      <c r="I15" s="1562"/>
      <c r="J15" s="76">
        <f>30000+40000</f>
        <v>70000</v>
      </c>
      <c r="N15" s="204">
        <v>70000</v>
      </c>
    </row>
    <row r="16" spans="1:14" ht="18.75" thickBot="1" x14ac:dyDescent="0.4">
      <c r="A16" s="1352"/>
      <c r="B16" s="1353" t="s">
        <v>369</v>
      </c>
      <c r="C16" s="1366"/>
      <c r="D16" s="1355">
        <f>SUM(D12:D15)</f>
        <v>659516</v>
      </c>
      <c r="E16" s="1349">
        <f>SUM(E12:E15)</f>
        <v>209091</v>
      </c>
      <c r="F16" s="1349">
        <f>SUM(F12:F15)</f>
        <v>194007.34</v>
      </c>
      <c r="G16" s="1349">
        <f>SUM(G12:G15)</f>
        <v>-15083.660000000003</v>
      </c>
      <c r="H16" s="1349">
        <f>SUM(H12:H15)</f>
        <v>244098</v>
      </c>
      <c r="I16" s="1349">
        <f t="shared" ref="I16:N16" si="1">SUM(I12:I15)</f>
        <v>285324</v>
      </c>
      <c r="J16" s="1349">
        <f t="shared" si="1"/>
        <v>255825</v>
      </c>
      <c r="K16" s="1349">
        <f t="shared" si="1"/>
        <v>144533.82</v>
      </c>
      <c r="L16" s="1349">
        <f t="shared" si="1"/>
        <v>48708.820000000007</v>
      </c>
      <c r="M16" s="1692">
        <f>K16/J16</f>
        <v>0.56497144532395194</v>
      </c>
      <c r="N16" s="1349">
        <f t="shared" si="1"/>
        <v>334657</v>
      </c>
    </row>
    <row r="17" spans="3:4" ht="16.5" thickTop="1" x14ac:dyDescent="0.3">
      <c r="C17" s="65"/>
      <c r="D17" s="65"/>
    </row>
    <row r="18" spans="3:4" ht="15.75" x14ac:dyDescent="0.3">
      <c r="C18" s="65"/>
      <c r="D18" s="65"/>
    </row>
    <row r="19" spans="3:4" ht="15.75" x14ac:dyDescent="0.3">
      <c r="C19" s="65"/>
      <c r="D19" s="65"/>
    </row>
  </sheetData>
  <phoneticPr fontId="20" type="noConversion"/>
  <pageMargins left="0.75" right="0.75" top="1" bottom="1" header="0.5" footer="0.5"/>
  <pageSetup paperSize="5" scale="90" orientation="portrait" r:id="rId1"/>
  <headerFooter alignWithMargins="0">
    <oddHeader>&amp;RPAGE 35</oddHeader>
    <oddFooter>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25"/>
  <sheetViews>
    <sheetView workbookViewId="0">
      <selection activeCell="P24" sqref="P24"/>
    </sheetView>
  </sheetViews>
  <sheetFormatPr defaultRowHeight="15" x14ac:dyDescent="0.25"/>
  <cols>
    <col min="1" max="1" width="16.42578125" customWidth="1"/>
    <col min="2" max="2" width="36.42578125" customWidth="1"/>
    <col min="3" max="3" width="12.140625" hidden="1" customWidth="1"/>
    <col min="4" max="5" width="13.7109375" hidden="1" customWidth="1"/>
    <col min="6" max="6" width="18.85546875" hidden="1" customWidth="1"/>
    <col min="7" max="7" width="20" style="76" hidden="1" customWidth="1"/>
    <col min="8" max="8" width="20" style="144" hidden="1" customWidth="1"/>
    <col min="9" max="9" width="18.7109375" hidden="1" customWidth="1"/>
    <col min="10" max="10" width="22.85546875" hidden="1" customWidth="1"/>
    <col min="11" max="11" width="16.7109375" hidden="1" customWidth="1"/>
    <col min="12" max="12" width="16" style="76" hidden="1" customWidth="1"/>
    <col min="13" max="13" width="18.7109375" style="76" hidden="1" customWidth="1"/>
    <col min="14" max="14" width="18.42578125" style="76" hidden="1" customWidth="1"/>
    <col min="15" max="15" width="16.28515625" style="76" customWidth="1"/>
    <col min="16" max="16" width="19" style="204" customWidth="1"/>
    <col min="17" max="17" width="14.28515625" style="76" customWidth="1"/>
  </cols>
  <sheetData>
    <row r="1" spans="1:17" ht="22.5" x14ac:dyDescent="0.4">
      <c r="A1" s="1409"/>
      <c r="B1" s="1409" t="s">
        <v>199</v>
      </c>
      <c r="C1" s="1"/>
      <c r="D1" s="1"/>
      <c r="E1" s="2"/>
      <c r="F1" s="2"/>
      <c r="G1" s="415"/>
      <c r="H1" s="173"/>
      <c r="I1" s="173"/>
      <c r="J1" s="173"/>
      <c r="K1" s="173"/>
      <c r="L1" s="173"/>
      <c r="M1" s="173"/>
      <c r="N1" s="415"/>
      <c r="O1" s="1563"/>
    </row>
    <row r="2" spans="1:17" ht="22.5" x14ac:dyDescent="0.4">
      <c r="A2" s="745"/>
      <c r="B2" s="262" t="s">
        <v>1107</v>
      </c>
      <c r="C2" s="4"/>
      <c r="D2" s="3"/>
      <c r="E2" s="5"/>
      <c r="F2" s="262"/>
      <c r="G2" s="262" t="s">
        <v>675</v>
      </c>
      <c r="H2" s="172"/>
      <c r="I2" s="172"/>
      <c r="J2" s="745" t="s">
        <v>932</v>
      </c>
      <c r="K2" s="172"/>
      <c r="L2" s="172"/>
      <c r="M2" s="172"/>
      <c r="N2" s="1563"/>
      <c r="O2" s="1563"/>
    </row>
    <row r="3" spans="1:17" ht="23.25" thickBot="1" x14ac:dyDescent="0.45">
      <c r="A3" s="263"/>
      <c r="B3" s="1410" t="s">
        <v>1155</v>
      </c>
      <c r="C3" s="43"/>
      <c r="D3" s="43"/>
      <c r="E3" s="43"/>
      <c r="F3" s="263"/>
      <c r="G3" s="416" t="s">
        <v>632</v>
      </c>
      <c r="H3" s="43"/>
      <c r="I3" s="43"/>
      <c r="J3" s="263" t="s">
        <v>934</v>
      </c>
      <c r="K3" s="43"/>
      <c r="L3" s="43"/>
      <c r="M3" s="43"/>
      <c r="N3" s="1563"/>
      <c r="O3" s="1563"/>
    </row>
    <row r="4" spans="1:17" ht="75" customHeight="1" thickBot="1" x14ac:dyDescent="0.4">
      <c r="A4" s="1406" t="s">
        <v>565</v>
      </c>
      <c r="B4" s="1407" t="s">
        <v>630</v>
      </c>
      <c r="C4" s="323" t="s">
        <v>96</v>
      </c>
      <c r="D4" s="325" t="s">
        <v>305</v>
      </c>
      <c r="E4" s="325" t="s">
        <v>560</v>
      </c>
      <c r="F4" s="348" t="s">
        <v>640</v>
      </c>
      <c r="G4" s="1161" t="s">
        <v>676</v>
      </c>
      <c r="H4" s="1378" t="s">
        <v>672</v>
      </c>
      <c r="I4" s="439" t="s">
        <v>0</v>
      </c>
      <c r="J4" s="325" t="s">
        <v>852</v>
      </c>
      <c r="K4" s="325" t="s">
        <v>880</v>
      </c>
      <c r="L4" s="325" t="s">
        <v>785</v>
      </c>
      <c r="M4" s="551" t="s">
        <v>944</v>
      </c>
      <c r="N4" s="1428" t="s">
        <v>943</v>
      </c>
      <c r="O4" s="1588" t="s">
        <v>1124</v>
      </c>
      <c r="P4" s="1755" t="s">
        <v>1122</v>
      </c>
      <c r="Q4" s="1528" t="s">
        <v>1109</v>
      </c>
    </row>
    <row r="5" spans="1:17" ht="15.75" x14ac:dyDescent="0.3">
      <c r="A5" s="297" t="s">
        <v>362</v>
      </c>
      <c r="B5" s="298" t="s">
        <v>519</v>
      </c>
      <c r="C5" s="1379"/>
      <c r="D5" s="1380"/>
      <c r="E5" s="1381">
        <v>232219</v>
      </c>
      <c r="F5" s="1381">
        <v>116263</v>
      </c>
      <c r="G5" s="326">
        <v>116263</v>
      </c>
      <c r="H5" s="1360">
        <f>G5/F5</f>
        <v>1</v>
      </c>
      <c r="I5" s="327"/>
      <c r="J5" s="326">
        <v>6000</v>
      </c>
      <c r="K5" s="1382">
        <v>58103.51</v>
      </c>
      <c r="L5" s="326">
        <f>K5-J5</f>
        <v>52103.51</v>
      </c>
      <c r="M5" s="326">
        <v>412</v>
      </c>
      <c r="N5" s="485">
        <v>5647</v>
      </c>
      <c r="O5" s="76">
        <v>147</v>
      </c>
      <c r="Q5" s="1763">
        <v>619</v>
      </c>
    </row>
    <row r="6" spans="1:17" ht="15.75" x14ac:dyDescent="0.3">
      <c r="A6" s="1383" t="s">
        <v>202</v>
      </c>
      <c r="B6" s="1384" t="s">
        <v>200</v>
      </c>
      <c r="C6" s="214"/>
      <c r="D6" s="214"/>
      <c r="E6" s="214">
        <v>429512</v>
      </c>
      <c r="F6" s="214">
        <v>437435</v>
      </c>
      <c r="G6" s="185">
        <v>435402.29</v>
      </c>
      <c r="H6" s="179">
        <f>G6/F6</f>
        <v>0.99535311531999038</v>
      </c>
      <c r="I6" s="177"/>
      <c r="J6" s="185">
        <v>446000</v>
      </c>
      <c r="K6" s="214">
        <f>[31]Sheet1!$AB$231</f>
        <v>369738.37</v>
      </c>
      <c r="L6" s="185">
        <f>K6-J6</f>
        <v>-76261.63</v>
      </c>
      <c r="M6" s="185">
        <v>409772</v>
      </c>
      <c r="N6" s="303">
        <v>366116</v>
      </c>
      <c r="O6" s="76">
        <v>380569</v>
      </c>
      <c r="P6" s="204">
        <f>[29]Sheet1!$J$231</f>
        <v>430384.24</v>
      </c>
      <c r="Q6" s="1763">
        <v>430384</v>
      </c>
    </row>
    <row r="7" spans="1:17" ht="16.5" thickBot="1" x14ac:dyDescent="0.35">
      <c r="A7" s="1399" t="s">
        <v>45</v>
      </c>
      <c r="B7" s="1385" t="s">
        <v>184</v>
      </c>
      <c r="C7" s="1386"/>
      <c r="D7" s="1386"/>
      <c r="E7" s="1386">
        <v>376</v>
      </c>
      <c r="F7" s="1386">
        <v>40</v>
      </c>
      <c r="G7" s="193">
        <v>118.13</v>
      </c>
      <c r="H7" s="1363">
        <f>G7/F7</f>
        <v>2.9532499999999997</v>
      </c>
      <c r="I7" s="97"/>
      <c r="J7" s="1386">
        <v>0</v>
      </c>
      <c r="K7" s="1386"/>
      <c r="L7" s="193"/>
      <c r="M7" s="193"/>
      <c r="N7" s="306"/>
      <c r="O7" s="76">
        <v>13</v>
      </c>
      <c r="P7" s="204">
        <f>[29]Sheet1!$X$231</f>
        <v>8.18</v>
      </c>
      <c r="Q7" s="1555">
        <v>8</v>
      </c>
    </row>
    <row r="8" spans="1:17" ht="16.5" thickBot="1" x14ac:dyDescent="0.35">
      <c r="A8" s="46"/>
      <c r="B8" s="46"/>
      <c r="C8" s="47"/>
      <c r="D8" s="47"/>
      <c r="E8" s="48"/>
      <c r="F8" s="48"/>
      <c r="G8" s="158"/>
      <c r="H8" s="1400"/>
      <c r="I8" s="64"/>
      <c r="J8" s="48"/>
      <c r="K8" s="48"/>
      <c r="L8" s="158"/>
      <c r="M8" s="158"/>
      <c r="N8" s="158"/>
      <c r="Q8" s="1555"/>
    </row>
    <row r="9" spans="1:17" s="72" customFormat="1" ht="18.75" thickBot="1" x14ac:dyDescent="0.4">
      <c r="A9" s="1388"/>
      <c r="B9" s="1389" t="s">
        <v>356</v>
      </c>
      <c r="C9" s="1390"/>
      <c r="D9" s="1390"/>
      <c r="E9" s="1391">
        <f>SUM(E5:E8)</f>
        <v>662107</v>
      </c>
      <c r="F9" s="1391">
        <f>SUM(F5:F8)</f>
        <v>553738</v>
      </c>
      <c r="G9" s="1391">
        <f>SUM(G5:G8)</f>
        <v>551783.42000000004</v>
      </c>
      <c r="H9" s="1392">
        <f>G9/F9</f>
        <v>0.99647020793227126</v>
      </c>
      <c r="I9" s="1393"/>
      <c r="J9" s="1391">
        <f>SUM(J5:J8)</f>
        <v>452000</v>
      </c>
      <c r="K9" s="1391">
        <f>SUM(K5:K8)</f>
        <v>427841.88</v>
      </c>
      <c r="L9" s="1391">
        <f>SUM(L5:L8)</f>
        <v>-24158.120000000003</v>
      </c>
      <c r="M9" s="1391">
        <f>SUM(M5:M7)</f>
        <v>410184</v>
      </c>
      <c r="N9" s="1391">
        <f t="shared" ref="N9:Q9" si="0">SUM(N5:N7)</f>
        <v>371763</v>
      </c>
      <c r="O9" s="1391">
        <f t="shared" si="0"/>
        <v>380729</v>
      </c>
      <c r="P9" s="1756">
        <f t="shared" si="0"/>
        <v>430392.42</v>
      </c>
      <c r="Q9" s="1772">
        <f t="shared" si="0"/>
        <v>431011</v>
      </c>
    </row>
    <row r="10" spans="1:17" ht="15.75" x14ac:dyDescent="0.3">
      <c r="A10" s="1396" t="s">
        <v>355</v>
      </c>
      <c r="B10" s="327"/>
      <c r="C10" s="1397"/>
      <c r="D10" s="1397"/>
      <c r="E10" s="1398"/>
      <c r="F10" s="1398"/>
      <c r="G10" s="326"/>
      <c r="H10" s="1360"/>
      <c r="I10" s="327"/>
      <c r="J10" s="327"/>
      <c r="K10" s="327"/>
      <c r="L10" s="326"/>
      <c r="M10" s="326"/>
      <c r="N10" s="485"/>
      <c r="Q10" s="1555"/>
    </row>
    <row r="11" spans="1:17" ht="15.75" x14ac:dyDescent="0.3">
      <c r="A11" s="1383" t="s">
        <v>177</v>
      </c>
      <c r="B11" s="35" t="s">
        <v>371</v>
      </c>
      <c r="C11" s="214"/>
      <c r="D11" s="214"/>
      <c r="E11" s="215">
        <v>193200</v>
      </c>
      <c r="F11" s="215" t="e">
        <f>'118-Revenue &amp; Expenses'!#REF!</f>
        <v>#REF!</v>
      </c>
      <c r="G11" s="185">
        <v>209507.41</v>
      </c>
      <c r="H11" s="179" t="e">
        <f>G11/F11</f>
        <v>#REF!</v>
      </c>
      <c r="I11" s="177"/>
      <c r="J11" s="185">
        <v>202849</v>
      </c>
      <c r="K11" s="215">
        <f>'[33]YTD TRANSFERS'!$C$55</f>
        <v>162913.60000000001</v>
      </c>
      <c r="L11" s="185">
        <f>K11-J11</f>
        <v>-39935.399999999994</v>
      </c>
      <c r="M11" s="185">
        <f>'118-Revenue &amp; Expenses'!J14</f>
        <v>243724</v>
      </c>
      <c r="N11" s="303">
        <f>'118-Revenue &amp; Expenses'!K14</f>
        <v>191440</v>
      </c>
      <c r="O11" s="76">
        <f>'118-Revenue &amp; Expenses'!L16</f>
        <v>226679</v>
      </c>
      <c r="P11" s="204">
        <v>185533.27</v>
      </c>
      <c r="Q11" s="1555">
        <f>'118-Revenue &amp; Expenses'!N14</f>
        <v>234939</v>
      </c>
    </row>
    <row r="12" spans="1:17" ht="16.5" thickBot="1" x14ac:dyDescent="0.35">
      <c r="A12" s="1399" t="s">
        <v>186</v>
      </c>
      <c r="B12" s="1385" t="s">
        <v>372</v>
      </c>
      <c r="C12" s="1386"/>
      <c r="D12" s="1386"/>
      <c r="E12" s="1387">
        <v>228000</v>
      </c>
      <c r="F12" s="1387" t="e">
        <f>#REF!</f>
        <v>#REF!</v>
      </c>
      <c r="G12" s="193">
        <v>288455.82</v>
      </c>
      <c r="H12" s="1363" t="e">
        <f>G12/F12</f>
        <v>#REF!</v>
      </c>
      <c r="I12" s="97"/>
      <c r="J12" s="193">
        <v>214465</v>
      </c>
      <c r="K12" s="1387">
        <f>'[33]YTD TRANSFERS'!$E$55</f>
        <v>186445.22</v>
      </c>
      <c r="L12" s="193">
        <f>K12-J12</f>
        <v>-28019.78</v>
      </c>
      <c r="M12" s="193">
        <f>'119-Revenues &amp; Expenses'!F12</f>
        <v>191020</v>
      </c>
      <c r="N12" s="306">
        <f>'119-Revenues &amp; Expenses'!G12</f>
        <v>221487</v>
      </c>
      <c r="O12" s="76">
        <f>'119-Revenues &amp; Expenses'!H14</f>
        <v>227793</v>
      </c>
      <c r="P12" s="204">
        <v>162282.73000000001</v>
      </c>
      <c r="Q12" s="1555">
        <f>'119-Revenues &amp; Expenses'!J12</f>
        <v>213204</v>
      </c>
    </row>
    <row r="13" spans="1:17" ht="16.5" thickBot="1" x14ac:dyDescent="0.35">
      <c r="A13" s="45"/>
      <c r="B13" s="46"/>
      <c r="C13" s="47"/>
      <c r="D13" s="47"/>
      <c r="E13" s="48"/>
      <c r="F13" s="48"/>
      <c r="I13" s="1394"/>
      <c r="J13" s="1395"/>
      <c r="K13" s="1395"/>
      <c r="Q13" s="1555"/>
    </row>
    <row r="14" spans="1:17" ht="18.75" thickBot="1" x14ac:dyDescent="0.4">
      <c r="A14" s="1401"/>
      <c r="B14" s="1389" t="s">
        <v>357</v>
      </c>
      <c r="C14" s="1402"/>
      <c r="D14" s="1402"/>
      <c r="E14" s="1391">
        <f>SUM(E11:E13)</f>
        <v>421200</v>
      </c>
      <c r="F14" s="1391" t="e">
        <f>SUM(F11:F13)</f>
        <v>#REF!</v>
      </c>
      <c r="G14" s="1391">
        <f>SUM(G11:G13)</f>
        <v>497963.23</v>
      </c>
      <c r="H14" s="1246" t="e">
        <f>G14/F14</f>
        <v>#REF!</v>
      </c>
      <c r="I14" s="190"/>
      <c r="J14" s="1391">
        <f>SUM(J11:J13)</f>
        <v>417314</v>
      </c>
      <c r="K14" s="1391">
        <f>SUM(K11:K13)</f>
        <v>349358.82</v>
      </c>
      <c r="L14" s="1391">
        <f>SUM(L11:L13)</f>
        <v>-67955.179999999993</v>
      </c>
      <c r="M14" s="1391">
        <f>SUM(M11:M13)</f>
        <v>434744</v>
      </c>
      <c r="N14" s="1391">
        <f t="shared" ref="N14:Q14" si="1">SUM(N11:N13)</f>
        <v>412927</v>
      </c>
      <c r="O14" s="1391">
        <f t="shared" si="1"/>
        <v>454472</v>
      </c>
      <c r="P14" s="1391">
        <f t="shared" si="1"/>
        <v>347816</v>
      </c>
      <c r="Q14" s="1772">
        <f t="shared" si="1"/>
        <v>448143</v>
      </c>
    </row>
    <row r="15" spans="1:17" ht="16.5" thickBot="1" x14ac:dyDescent="0.35">
      <c r="A15" s="44"/>
      <c r="B15" s="46"/>
      <c r="C15" s="47"/>
      <c r="D15" s="47"/>
      <c r="E15" s="48"/>
      <c r="F15" s="48"/>
      <c r="L15"/>
      <c r="Q15" s="1555"/>
    </row>
    <row r="16" spans="1:17" ht="19.5" thickTop="1" thickBot="1" x14ac:dyDescent="0.4">
      <c r="A16" s="1403"/>
      <c r="B16" s="1404" t="s">
        <v>373</v>
      </c>
      <c r="C16" s="216">
        <f>C9+C14</f>
        <v>0</v>
      </c>
      <c r="D16" s="216">
        <f>D9+D14</f>
        <v>0</v>
      </c>
      <c r="E16" s="216">
        <f>E9+E14</f>
        <v>1083307</v>
      </c>
      <c r="F16" s="216" t="e">
        <f>F9+F14</f>
        <v>#REF!</v>
      </c>
      <c r="G16" s="216">
        <f>G9+G14</f>
        <v>1049746.6499999999</v>
      </c>
      <c r="H16" s="206" t="e">
        <f>G16/F16</f>
        <v>#REF!</v>
      </c>
      <c r="I16" s="208"/>
      <c r="J16" s="216">
        <f>J9+J14</f>
        <v>869314</v>
      </c>
      <c r="K16" s="216">
        <f>K9+K14</f>
        <v>777200.7</v>
      </c>
      <c r="L16" s="216">
        <f>L9+L14</f>
        <v>-92113.299999999988</v>
      </c>
      <c r="M16" s="216">
        <f>M9+M14</f>
        <v>844928</v>
      </c>
      <c r="N16" s="216">
        <f t="shared" ref="N16:Q16" si="2">N9+N14</f>
        <v>784690</v>
      </c>
      <c r="O16" s="216">
        <f t="shared" si="2"/>
        <v>835201</v>
      </c>
      <c r="P16" s="216">
        <f t="shared" si="2"/>
        <v>778208.41999999993</v>
      </c>
      <c r="Q16" s="1773">
        <f t="shared" si="2"/>
        <v>879154</v>
      </c>
    </row>
    <row r="17" spans="1:19" ht="16.5" thickTop="1" thickBot="1" x14ac:dyDescent="0.3">
      <c r="Q17" s="1555"/>
    </row>
    <row r="18" spans="1:19" ht="69.95" customHeight="1" thickBot="1" x14ac:dyDescent="0.4">
      <c r="A18" s="1406" t="s">
        <v>566</v>
      </c>
      <c r="B18" s="1407" t="s">
        <v>630</v>
      </c>
      <c r="C18" s="190"/>
      <c r="D18" s="190"/>
      <c r="E18" s="190"/>
      <c r="F18" s="348" t="s">
        <v>640</v>
      </c>
      <c r="G18" s="1161" t="s">
        <v>677</v>
      </c>
      <c r="H18" s="1378" t="s">
        <v>678</v>
      </c>
      <c r="I18" s="325" t="s">
        <v>0</v>
      </c>
      <c r="J18" s="325" t="s">
        <v>852</v>
      </c>
      <c r="K18" s="325" t="s">
        <v>882</v>
      </c>
      <c r="L18" s="325" t="s">
        <v>785</v>
      </c>
      <c r="M18" s="551" t="s">
        <v>944</v>
      </c>
      <c r="N18" s="1428" t="s">
        <v>943</v>
      </c>
      <c r="O18" s="1588" t="s">
        <v>1013</v>
      </c>
      <c r="P18" s="1755" t="s">
        <v>1125</v>
      </c>
      <c r="Q18" s="1555"/>
    </row>
    <row r="19" spans="1:19" x14ac:dyDescent="0.25">
      <c r="Q19" s="1555"/>
      <c r="R19" s="76"/>
      <c r="S19">
        <v>879154</v>
      </c>
    </row>
    <row r="20" spans="1:19" ht="15.75" x14ac:dyDescent="0.3">
      <c r="A20" s="57" t="s">
        <v>54</v>
      </c>
      <c r="B20" s="56" t="s">
        <v>101</v>
      </c>
      <c r="C20" s="10"/>
      <c r="D20" s="10"/>
      <c r="E20" s="10">
        <v>250000</v>
      </c>
      <c r="F20" s="10">
        <f>258750+16378+3797</f>
        <v>278925</v>
      </c>
      <c r="G20" s="76">
        <v>180920.71</v>
      </c>
      <c r="H20" s="144">
        <f>G20/F20</f>
        <v>0.64863569059783088</v>
      </c>
      <c r="I20" s="177"/>
      <c r="J20" s="76">
        <v>192161.46</v>
      </c>
      <c r="K20" s="66">
        <f>'[33]AUG 17 YTD'!$D$63</f>
        <v>205710.06</v>
      </c>
      <c r="L20" s="76">
        <f>K20-J20</f>
        <v>13548.600000000006</v>
      </c>
      <c r="M20" s="76">
        <v>225260.44578331331</v>
      </c>
      <c r="N20" s="76">
        <v>297241</v>
      </c>
      <c r="O20" s="76">
        <v>316374</v>
      </c>
      <c r="P20" s="204">
        <v>311735.23</v>
      </c>
      <c r="Q20" s="1555">
        <v>333024</v>
      </c>
      <c r="R20" s="76">
        <v>0.37880000000000003</v>
      </c>
      <c r="S20">
        <f>S19*R20</f>
        <v>333023.53520000004</v>
      </c>
    </row>
    <row r="21" spans="1:19" ht="15.75" x14ac:dyDescent="0.3">
      <c r="A21" s="57" t="s">
        <v>149</v>
      </c>
      <c r="B21" s="56" t="s">
        <v>354</v>
      </c>
      <c r="C21" s="10"/>
      <c r="D21" s="10"/>
      <c r="E21" s="10">
        <v>383307</v>
      </c>
      <c r="F21" s="10">
        <f>313480+19842+4555</f>
        <v>337877</v>
      </c>
      <c r="G21" s="76">
        <v>320726.5</v>
      </c>
      <c r="H21" s="144">
        <f>G21/F21</f>
        <v>0.94924040405236221</v>
      </c>
      <c r="I21" s="177"/>
      <c r="J21" s="76">
        <v>307704.98</v>
      </c>
      <c r="K21" s="66">
        <f>'[33]AUG 17 YTD'!$E$63</f>
        <v>112167.20000000001</v>
      </c>
      <c r="L21" s="76">
        <f>K21-J21</f>
        <v>-195537.77999999997</v>
      </c>
      <c r="M21" s="76">
        <v>122827.40802402209</v>
      </c>
      <c r="N21" s="76">
        <v>81607</v>
      </c>
      <c r="O21" s="76">
        <v>86861</v>
      </c>
      <c r="P21" s="204">
        <v>72202.2</v>
      </c>
      <c r="Q21" s="1555">
        <v>91432</v>
      </c>
      <c r="R21" s="76">
        <v>0.104</v>
      </c>
      <c r="S21">
        <f>S19*R21</f>
        <v>91432.015999999989</v>
      </c>
    </row>
    <row r="22" spans="1:19" ht="15.75" x14ac:dyDescent="0.3">
      <c r="A22" s="57" t="s">
        <v>150</v>
      </c>
      <c r="B22" s="56" t="s">
        <v>157</v>
      </c>
      <c r="C22" s="10"/>
      <c r="D22" s="10"/>
      <c r="E22" s="10">
        <v>450000</v>
      </c>
      <c r="F22" s="10">
        <f>469320+29706+6835</f>
        <v>505861</v>
      </c>
      <c r="G22" s="76">
        <v>433822.52</v>
      </c>
      <c r="H22" s="144">
        <f>G22/F22</f>
        <v>0.85759234256050576</v>
      </c>
      <c r="I22" s="177"/>
      <c r="J22" s="76">
        <v>369447.56</v>
      </c>
      <c r="K22" s="66">
        <f>'[33]AUG 17 YTD'!$J$62</f>
        <v>453719.32000000012</v>
      </c>
      <c r="L22" s="76">
        <f>K22-J22</f>
        <v>84271.760000000126</v>
      </c>
      <c r="M22" s="76">
        <v>496840.14619266469</v>
      </c>
      <c r="N22" s="76">
        <v>405842</v>
      </c>
      <c r="O22" s="76">
        <v>431966</v>
      </c>
      <c r="P22" s="204">
        <v>428653.22</v>
      </c>
      <c r="Q22" s="1555">
        <v>454698</v>
      </c>
      <c r="R22" s="76">
        <v>0.51719999999999999</v>
      </c>
      <c r="S22">
        <f>S19*R22</f>
        <v>454698.44880000001</v>
      </c>
    </row>
    <row r="23" spans="1:19" ht="16.5" thickBot="1" x14ac:dyDescent="0.35">
      <c r="A23" s="136"/>
      <c r="B23" s="56"/>
      <c r="C23" s="11"/>
      <c r="D23" s="11"/>
      <c r="E23" s="10"/>
      <c r="F23" s="10"/>
      <c r="J23" s="10"/>
      <c r="Q23" s="1555"/>
      <c r="R23" s="76">
        <f>SUM(R20:R22)</f>
        <v>1</v>
      </c>
      <c r="S23">
        <f>SUM(S20:S22)</f>
        <v>879154</v>
      </c>
    </row>
    <row r="24" spans="1:19" ht="19.5" thickTop="1" thickBot="1" x14ac:dyDescent="0.4">
      <c r="A24" s="208"/>
      <c r="B24" s="1405" t="s">
        <v>208</v>
      </c>
      <c r="C24" s="217">
        <f>SUM(C20:C22)</f>
        <v>0</v>
      </c>
      <c r="D24" s="217">
        <f>SUM(D20:D22)</f>
        <v>0</v>
      </c>
      <c r="E24" s="217">
        <f>SUM(E20:E22)</f>
        <v>1083307</v>
      </c>
      <c r="F24" s="217">
        <f>SUM(F20:F22)</f>
        <v>1122663</v>
      </c>
      <c r="G24" s="217">
        <f>SUM(G20:G22)</f>
        <v>935469.73</v>
      </c>
      <c r="H24" s="206">
        <f>G24/F24</f>
        <v>0.83325960684550926</v>
      </c>
      <c r="I24" s="208"/>
      <c r="J24" s="217">
        <f t="shared" ref="J24:Q24" si="3">SUM(J20:J22)</f>
        <v>869314</v>
      </c>
      <c r="K24" s="217">
        <f t="shared" si="3"/>
        <v>771596.58000000007</v>
      </c>
      <c r="L24" s="217">
        <f t="shared" si="3"/>
        <v>-97717.419999999838</v>
      </c>
      <c r="M24" s="217">
        <f t="shared" si="3"/>
        <v>844928</v>
      </c>
      <c r="N24" s="217">
        <f t="shared" si="3"/>
        <v>784690</v>
      </c>
      <c r="O24" s="217">
        <f t="shared" si="3"/>
        <v>835201</v>
      </c>
      <c r="P24" s="217">
        <f t="shared" si="3"/>
        <v>812590.64999999991</v>
      </c>
      <c r="Q24" s="1774">
        <f t="shared" si="3"/>
        <v>879154</v>
      </c>
    </row>
    <row r="25" spans="1:19" ht="15.75" thickTop="1" x14ac:dyDescent="0.25"/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Header>&amp;RPAGE 36</oddHeader>
    <oddFooter>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N32"/>
  <sheetViews>
    <sheetView workbookViewId="0">
      <selection sqref="A1:N16"/>
    </sheetView>
  </sheetViews>
  <sheetFormatPr defaultRowHeight="16.5" x14ac:dyDescent="0.3"/>
  <cols>
    <col min="1" max="1" width="12" customWidth="1"/>
    <col min="2" max="2" width="28.85546875" customWidth="1"/>
    <col min="3" max="5" width="14.28515625" hidden="1" customWidth="1"/>
    <col min="6" max="6" width="16" hidden="1" customWidth="1"/>
    <col min="7" max="7" width="23.5703125" hidden="1" customWidth="1"/>
    <col min="8" max="8" width="15.42578125" hidden="1" customWidth="1"/>
    <col min="9" max="9" width="15" hidden="1" customWidth="1"/>
    <col min="10" max="10" width="23.42578125" style="774" hidden="1" customWidth="1"/>
    <col min="11" max="11" width="22.140625" style="76" hidden="1" customWidth="1"/>
    <col min="12" max="12" width="18.85546875" customWidth="1"/>
    <col min="13" max="13" width="16.5703125" customWidth="1"/>
    <col min="14" max="14" width="15.28515625" customWidth="1"/>
  </cols>
  <sheetData>
    <row r="1" spans="1:14" ht="22.5" x14ac:dyDescent="0.4">
      <c r="A1" s="52"/>
      <c r="B1" s="269" t="s">
        <v>361</v>
      </c>
      <c r="C1" s="1"/>
      <c r="D1" s="2"/>
      <c r="E1" s="1"/>
      <c r="F1" s="1"/>
      <c r="G1" s="1"/>
      <c r="H1" s="1"/>
      <c r="J1" s="263"/>
      <c r="K1" s="1563"/>
      <c r="L1" s="1563"/>
    </row>
    <row r="2" spans="1:14" ht="22.5" x14ac:dyDescent="0.4">
      <c r="A2" s="43"/>
      <c r="B2" s="1414" t="s">
        <v>1107</v>
      </c>
      <c r="C2" s="4"/>
      <c r="D2" s="5"/>
      <c r="E2" s="3"/>
      <c r="F2" s="3"/>
      <c r="G2" s="3"/>
      <c r="H2" s="3"/>
      <c r="J2" s="43"/>
      <c r="K2" s="1563"/>
      <c r="L2" s="1563"/>
    </row>
    <row r="3" spans="1:14" ht="23.25" thickBot="1" x14ac:dyDescent="0.45">
      <c r="A3" s="43"/>
      <c r="B3" s="263" t="s">
        <v>1155</v>
      </c>
      <c r="C3" s="43"/>
      <c r="D3" s="43"/>
      <c r="E3" s="43"/>
      <c r="F3" s="43"/>
      <c r="G3" s="43"/>
      <c r="H3" s="43"/>
      <c r="J3" s="43"/>
      <c r="K3" s="1563"/>
      <c r="L3" s="1563"/>
    </row>
    <row r="4" spans="1:14" ht="65.099999999999994" customHeight="1" thickBot="1" x14ac:dyDescent="0.4">
      <c r="A4" s="1412" t="s">
        <v>565</v>
      </c>
      <c r="B4" s="1408"/>
      <c r="C4" s="12" t="s">
        <v>96</v>
      </c>
      <c r="D4" s="12" t="s">
        <v>305</v>
      </c>
      <c r="E4" s="12" t="s">
        <v>560</v>
      </c>
      <c r="F4" s="13" t="s">
        <v>0</v>
      </c>
      <c r="G4" s="325" t="s">
        <v>852</v>
      </c>
      <c r="H4" s="325" t="s">
        <v>880</v>
      </c>
      <c r="I4" s="325" t="s">
        <v>785</v>
      </c>
      <c r="J4" s="551" t="s">
        <v>944</v>
      </c>
      <c r="K4" s="1428" t="s">
        <v>943</v>
      </c>
      <c r="L4" s="1588" t="s">
        <v>1079</v>
      </c>
      <c r="M4" s="1752" t="s">
        <v>1126</v>
      </c>
      <c r="N4" s="1778" t="s">
        <v>1097</v>
      </c>
    </row>
    <row r="5" spans="1:14" x14ac:dyDescent="0.3">
      <c r="A5" s="73" t="s">
        <v>362</v>
      </c>
      <c r="B5" s="74" t="s">
        <v>519</v>
      </c>
      <c r="C5" s="10"/>
      <c r="D5" s="10"/>
      <c r="E5" s="77">
        <v>40000</v>
      </c>
      <c r="F5" s="177"/>
      <c r="G5" s="774">
        <v>4469</v>
      </c>
      <c r="H5" s="194">
        <v>16724</v>
      </c>
      <c r="I5" s="76">
        <f>H5-G5</f>
        <v>12255</v>
      </c>
      <c r="J5" s="774">
        <v>16724</v>
      </c>
      <c r="K5" s="76">
        <v>1775</v>
      </c>
      <c r="L5">
        <v>750</v>
      </c>
      <c r="M5">
        <v>16821</v>
      </c>
      <c r="N5" s="1504">
        <v>16821</v>
      </c>
    </row>
    <row r="6" spans="1:14" x14ac:dyDescent="0.3">
      <c r="A6" s="73">
        <v>44192</v>
      </c>
      <c r="B6" s="74" t="s">
        <v>363</v>
      </c>
      <c r="C6" s="10"/>
      <c r="D6" s="10"/>
      <c r="E6" s="77">
        <v>127000</v>
      </c>
      <c r="F6" s="177"/>
      <c r="G6" s="774">
        <v>107025</v>
      </c>
      <c r="H6" s="194">
        <f>[34]Sheet1!$J$196</f>
        <v>120614.31000000001</v>
      </c>
      <c r="I6" s="76">
        <f>H6-G6</f>
        <v>13589.310000000012</v>
      </c>
      <c r="J6" s="774">
        <v>132000</v>
      </c>
      <c r="K6" s="76">
        <v>100000</v>
      </c>
      <c r="L6" s="76">
        <v>122441</v>
      </c>
      <c r="M6" s="76">
        <f>[29]Sheet1!$K$197</f>
        <v>132327.07</v>
      </c>
      <c r="N6" s="1763">
        <v>132327</v>
      </c>
    </row>
    <row r="7" spans="1:14" x14ac:dyDescent="0.3">
      <c r="A7" s="73">
        <v>44193</v>
      </c>
      <c r="B7" s="74" t="s">
        <v>364</v>
      </c>
      <c r="C7" s="10"/>
      <c r="D7" s="10"/>
      <c r="E7" s="77">
        <v>25000</v>
      </c>
      <c r="F7" s="177"/>
      <c r="G7" s="774">
        <v>91334</v>
      </c>
      <c r="H7" s="194">
        <f>[34]Sheet1!$G$196</f>
        <v>95537.430000000022</v>
      </c>
      <c r="I7" s="76">
        <f>H7-G7</f>
        <v>4203.4300000000221</v>
      </c>
      <c r="J7" s="774">
        <v>95000</v>
      </c>
      <c r="K7" s="76">
        <v>89665</v>
      </c>
      <c r="L7" s="76">
        <v>103488</v>
      </c>
      <c r="M7" s="76">
        <f>[29]Sheet1!$H$197</f>
        <v>85791.090000000011</v>
      </c>
      <c r="N7" s="1763">
        <v>85791</v>
      </c>
    </row>
    <row r="8" spans="1:14" x14ac:dyDescent="0.3">
      <c r="A8" s="73">
        <v>47100</v>
      </c>
      <c r="B8" s="80" t="s">
        <v>365</v>
      </c>
      <c r="C8" s="15"/>
      <c r="D8" s="15"/>
      <c r="E8" s="79">
        <v>1200</v>
      </c>
      <c r="F8" s="177"/>
      <c r="G8" s="774">
        <v>21</v>
      </c>
      <c r="H8" s="194">
        <f>[35]Sheet1!$U$196</f>
        <v>19.02</v>
      </c>
      <c r="I8" s="76">
        <f>H8-G8</f>
        <v>-1.9800000000000004</v>
      </c>
      <c r="N8" s="1504"/>
    </row>
    <row r="9" spans="1:14" ht="17.25" thickBot="1" x14ac:dyDescent="0.35">
      <c r="A9" s="57"/>
      <c r="B9" s="56"/>
      <c r="C9" s="11"/>
      <c r="D9" s="11"/>
      <c r="E9" s="10"/>
      <c r="G9" s="10"/>
      <c r="H9" s="10"/>
      <c r="N9" s="1504"/>
    </row>
    <row r="10" spans="1:14" ht="19.5" thickTop="1" thickBot="1" x14ac:dyDescent="0.4">
      <c r="A10" s="108"/>
      <c r="B10" s="108" t="s">
        <v>366</v>
      </c>
      <c r="C10" s="109">
        <f>SUM(C5:C8)</f>
        <v>0</v>
      </c>
      <c r="D10" s="109">
        <f>SUM(D5:D8)</f>
        <v>0</v>
      </c>
      <c r="E10" s="109">
        <f>SUM(E5:E8)</f>
        <v>193200</v>
      </c>
      <c r="F10" s="208"/>
      <c r="G10" s="217">
        <f>SUM(G5:G8)</f>
        <v>202849</v>
      </c>
      <c r="H10" s="217">
        <f>SUM(H5:H8)</f>
        <v>232894.76</v>
      </c>
      <c r="I10" s="217">
        <f>SUM(I5:I8)</f>
        <v>30045.760000000035</v>
      </c>
      <c r="J10" s="217">
        <f>SUM(J5:J8)</f>
        <v>243724</v>
      </c>
      <c r="K10" s="217">
        <f t="shared" ref="K10:N10" si="0">SUM(K5:K8)</f>
        <v>191440</v>
      </c>
      <c r="L10" s="217">
        <f t="shared" si="0"/>
        <v>226679</v>
      </c>
      <c r="M10" s="217">
        <f t="shared" si="0"/>
        <v>234939.16000000003</v>
      </c>
      <c r="N10" s="1774">
        <f t="shared" si="0"/>
        <v>234939</v>
      </c>
    </row>
    <row r="11" spans="1:14" ht="19.5" thickTop="1" thickBot="1" x14ac:dyDescent="0.4">
      <c r="A11" s="58"/>
      <c r="B11" s="58"/>
      <c r="C11" s="17"/>
      <c r="D11" s="17"/>
      <c r="E11" s="51"/>
      <c r="N11" s="1504"/>
    </row>
    <row r="12" spans="1:14" ht="60.95" customHeight="1" thickBot="1" x14ac:dyDescent="0.4">
      <c r="A12" s="1413" t="s">
        <v>207</v>
      </c>
      <c r="B12" s="1411"/>
      <c r="C12" s="17"/>
      <c r="D12" s="17"/>
      <c r="E12" s="51"/>
      <c r="F12" s="13" t="s">
        <v>0</v>
      </c>
      <c r="G12" s="325" t="s">
        <v>852</v>
      </c>
      <c r="H12" s="325" t="s">
        <v>881</v>
      </c>
      <c r="I12" s="325" t="s">
        <v>785</v>
      </c>
      <c r="J12" s="551" t="s">
        <v>944</v>
      </c>
      <c r="K12" s="1428" t="s">
        <v>943</v>
      </c>
      <c r="L12" s="1588" t="s">
        <v>1013</v>
      </c>
      <c r="M12" s="1752" t="s">
        <v>1123</v>
      </c>
      <c r="N12" s="1778" t="s">
        <v>1097</v>
      </c>
    </row>
    <row r="13" spans="1:14" x14ac:dyDescent="0.3">
      <c r="C13" s="10"/>
      <c r="D13" s="11"/>
      <c r="E13" s="10"/>
      <c r="N13" s="1504"/>
    </row>
    <row r="14" spans="1:14" x14ac:dyDescent="0.3">
      <c r="A14" s="73">
        <v>62121</v>
      </c>
      <c r="B14" s="74" t="s">
        <v>367</v>
      </c>
      <c r="C14" s="77"/>
      <c r="D14" s="77"/>
      <c r="E14" s="77">
        <f>'117-Rev-Other Sources &amp; Expense'!E11</f>
        <v>193200</v>
      </c>
      <c r="F14" s="177"/>
      <c r="G14" s="194">
        <f>G10</f>
        <v>202849</v>
      </c>
      <c r="H14" s="194">
        <f>'117-Rev-Other Sources &amp; Expense'!K11</f>
        <v>162913.60000000001</v>
      </c>
      <c r="I14" s="76">
        <f>H14-G14</f>
        <v>-39935.399999999994</v>
      </c>
      <c r="J14" s="774">
        <f>J10</f>
        <v>243724</v>
      </c>
      <c r="K14" s="76">
        <v>191440</v>
      </c>
      <c r="L14">
        <v>226679</v>
      </c>
      <c r="M14" s="204">
        <f>'117-Rev-Other Sources &amp; Expense'!P11</f>
        <v>185533.27</v>
      </c>
      <c r="N14" s="1555">
        <v>234939</v>
      </c>
    </row>
    <row r="15" spans="1:14" ht="17.25" thickBot="1" x14ac:dyDescent="0.35">
      <c r="C15" s="77"/>
      <c r="D15" s="81"/>
      <c r="E15" s="81"/>
      <c r="G15" s="81"/>
      <c r="H15" s="81"/>
      <c r="N15" s="1504"/>
    </row>
    <row r="16" spans="1:14" ht="19.5" thickTop="1" thickBot="1" x14ac:dyDescent="0.4">
      <c r="A16" s="104"/>
      <c r="B16" s="106" t="s">
        <v>369</v>
      </c>
      <c r="C16" s="110"/>
      <c r="D16" s="111"/>
      <c r="E16" s="111">
        <f>SUM(E14:E15)</f>
        <v>193200</v>
      </c>
      <c r="F16" s="208"/>
      <c r="G16" s="218">
        <f>SUM(G14:G15)</f>
        <v>202849</v>
      </c>
      <c r="H16" s="218">
        <f>SUM(H14:H15)</f>
        <v>162913.60000000001</v>
      </c>
      <c r="I16" s="218">
        <f>SUM(I14:I15)</f>
        <v>-39935.399999999994</v>
      </c>
      <c r="J16" s="218">
        <f>SUM(J14:J15)</f>
        <v>243724</v>
      </c>
      <c r="K16" s="218">
        <f t="shared" ref="K16:N16" si="1">SUM(K14:K15)</f>
        <v>191440</v>
      </c>
      <c r="L16" s="218">
        <f t="shared" si="1"/>
        <v>226679</v>
      </c>
      <c r="M16" s="218">
        <f t="shared" si="1"/>
        <v>185533.27</v>
      </c>
      <c r="N16" s="1777">
        <f t="shared" si="1"/>
        <v>234939</v>
      </c>
    </row>
    <row r="17" spans="3:8" ht="17.25" thickTop="1" x14ac:dyDescent="0.3">
      <c r="C17" s="77"/>
      <c r="D17" s="77"/>
      <c r="E17" s="77"/>
    </row>
    <row r="18" spans="3:8" x14ac:dyDescent="0.3">
      <c r="C18" s="77"/>
      <c r="D18" s="77"/>
      <c r="E18" s="77"/>
      <c r="H18" s="76"/>
    </row>
    <row r="19" spans="3:8" x14ac:dyDescent="0.3">
      <c r="C19" s="77"/>
      <c r="D19" s="77"/>
      <c r="E19" s="77"/>
    </row>
    <row r="20" spans="3:8" x14ac:dyDescent="0.3">
      <c r="C20" s="77"/>
      <c r="D20" s="77"/>
      <c r="E20" s="77"/>
    </row>
    <row r="21" spans="3:8" x14ac:dyDescent="0.3">
      <c r="C21" s="77"/>
      <c r="D21" s="77"/>
      <c r="E21" s="77"/>
    </row>
    <row r="22" spans="3:8" x14ac:dyDescent="0.3">
      <c r="C22" s="77"/>
      <c r="D22" s="77"/>
      <c r="E22" s="77"/>
    </row>
    <row r="23" spans="3:8" x14ac:dyDescent="0.3">
      <c r="C23" s="77"/>
      <c r="D23" s="77"/>
      <c r="E23" s="77"/>
    </row>
    <row r="24" spans="3:8" x14ac:dyDescent="0.3">
      <c r="C24" s="77"/>
      <c r="D24" s="77"/>
      <c r="E24" s="77"/>
    </row>
    <row r="25" spans="3:8" x14ac:dyDescent="0.3">
      <c r="C25" s="77"/>
      <c r="D25" s="77"/>
      <c r="E25" s="77"/>
    </row>
    <row r="26" spans="3:8" x14ac:dyDescent="0.3">
      <c r="C26" s="77"/>
      <c r="D26" s="77"/>
      <c r="E26" s="77"/>
    </row>
    <row r="27" spans="3:8" x14ac:dyDescent="0.3">
      <c r="C27" s="77"/>
      <c r="D27" s="77"/>
      <c r="E27" s="77"/>
    </row>
    <row r="28" spans="3:8" x14ac:dyDescent="0.3">
      <c r="C28" s="76"/>
      <c r="D28" s="76"/>
      <c r="E28" s="76"/>
    </row>
    <row r="29" spans="3:8" x14ac:dyDescent="0.3">
      <c r="C29" s="76"/>
      <c r="D29" s="76"/>
      <c r="E29" s="76"/>
    </row>
    <row r="30" spans="3:8" x14ac:dyDescent="0.3">
      <c r="C30" s="76"/>
      <c r="D30" s="76"/>
      <c r="E30" s="76"/>
    </row>
    <row r="31" spans="3:8" x14ac:dyDescent="0.3">
      <c r="C31" s="76"/>
      <c r="D31" s="76"/>
      <c r="E31" s="76"/>
    </row>
    <row r="32" spans="3:8" x14ac:dyDescent="0.3">
      <c r="C32" s="76"/>
      <c r="D32" s="76"/>
      <c r="E32" s="76"/>
    </row>
  </sheetData>
  <phoneticPr fontId="0" type="noConversion"/>
  <printOptions horizontalCentered="1"/>
  <pageMargins left="0" right="0" top="0.5" bottom="0.5" header="0.3" footer="0.3"/>
  <pageSetup paperSize="5" fitToHeight="2" orientation="portrait" r:id="rId1"/>
  <headerFooter>
    <oddHeader>&amp;RPAGE 37</oddHeader>
    <oddFooter>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J17"/>
  <sheetViews>
    <sheetView workbookViewId="0">
      <selection activeCell="B3" sqref="B3"/>
    </sheetView>
  </sheetViews>
  <sheetFormatPr defaultRowHeight="15" x14ac:dyDescent="0.25"/>
  <cols>
    <col min="1" max="1" width="13.28515625" customWidth="1"/>
    <col min="2" max="2" width="26.28515625" bestFit="1" customWidth="1"/>
    <col min="3" max="3" width="15.7109375" style="76" hidden="1" customWidth="1"/>
    <col min="4" max="4" width="17.85546875" hidden="1" customWidth="1"/>
    <col min="5" max="5" width="17" style="76" hidden="1" customWidth="1"/>
    <col min="6" max="6" width="28.28515625" style="76" hidden="1" customWidth="1"/>
    <col min="7" max="7" width="26.28515625" style="76" hidden="1" customWidth="1"/>
    <col min="8" max="8" width="20" customWidth="1"/>
    <col min="9" max="9" width="16.28515625" customWidth="1"/>
    <col min="10" max="10" width="17.42578125" customWidth="1"/>
  </cols>
  <sheetData>
    <row r="1" spans="1:10" ht="22.5" x14ac:dyDescent="0.4">
      <c r="A1" s="813"/>
      <c r="B1" s="813" t="s">
        <v>788</v>
      </c>
      <c r="C1" s="2"/>
      <c r="D1" s="174"/>
      <c r="E1" s="2"/>
      <c r="F1" s="43"/>
      <c r="G1" s="1563"/>
      <c r="H1" s="1563"/>
    </row>
    <row r="2" spans="1:10" ht="22.5" x14ac:dyDescent="0.4">
      <c r="A2" s="43"/>
      <c r="B2" s="264" t="s">
        <v>1107</v>
      </c>
      <c r="C2" s="5"/>
      <c r="D2" s="168"/>
      <c r="E2" s="5"/>
      <c r="F2" s="43"/>
      <c r="G2" s="1563"/>
      <c r="H2" s="1563"/>
    </row>
    <row r="3" spans="1:10" ht="23.25" thickBot="1" x14ac:dyDescent="0.45">
      <c r="A3" s="20"/>
      <c r="B3" s="263" t="s">
        <v>1155</v>
      </c>
      <c r="C3" s="187"/>
      <c r="D3" s="20"/>
      <c r="E3" s="187"/>
      <c r="F3" s="43"/>
      <c r="G3" s="1563"/>
      <c r="H3" s="1563"/>
    </row>
    <row r="4" spans="1:10" ht="69.95" customHeight="1" thickBot="1" x14ac:dyDescent="0.35">
      <c r="A4" s="1415" t="s">
        <v>565</v>
      </c>
      <c r="B4" s="1344"/>
      <c r="C4" s="325" t="s">
        <v>852</v>
      </c>
      <c r="D4" s="325" t="s">
        <v>880</v>
      </c>
      <c r="E4" s="325" t="s">
        <v>785</v>
      </c>
      <c r="F4" s="551" t="s">
        <v>944</v>
      </c>
      <c r="G4" s="1428" t="s">
        <v>943</v>
      </c>
      <c r="H4" s="1588" t="s">
        <v>1078</v>
      </c>
      <c r="I4" s="1679" t="s">
        <v>1122</v>
      </c>
      <c r="J4" s="1775" t="s">
        <v>1097</v>
      </c>
    </row>
    <row r="5" spans="1:10" ht="18" x14ac:dyDescent="0.35">
      <c r="A5" s="73" t="s">
        <v>362</v>
      </c>
      <c r="B5" s="74" t="s">
        <v>519</v>
      </c>
      <c r="C5" s="808">
        <v>12465</v>
      </c>
      <c r="D5" s="804">
        <v>12465</v>
      </c>
      <c r="E5" s="808">
        <f>D5-C5</f>
        <v>0</v>
      </c>
      <c r="F5" s="812">
        <v>3670</v>
      </c>
      <c r="G5" s="1564">
        <v>21487</v>
      </c>
      <c r="H5" s="1564">
        <v>19689</v>
      </c>
      <c r="I5" s="1564">
        <v>17966</v>
      </c>
      <c r="J5" s="1776">
        <v>17966</v>
      </c>
    </row>
    <row r="6" spans="1:10" ht="18" x14ac:dyDescent="0.35">
      <c r="A6" s="73" t="s">
        <v>712</v>
      </c>
      <c r="B6" s="80" t="s">
        <v>713</v>
      </c>
      <c r="C6" s="809">
        <v>202000</v>
      </c>
      <c r="D6" s="805">
        <f>[31]Sheet1!$K$214+[31]Sheet1!$W$214</f>
        <v>168776.57</v>
      </c>
      <c r="E6" s="809">
        <f>D6-C6</f>
        <v>-33223.429999999993</v>
      </c>
      <c r="F6" s="812">
        <v>187350</v>
      </c>
      <c r="G6" s="812">
        <v>200000</v>
      </c>
      <c r="H6" s="76">
        <v>207704</v>
      </c>
      <c r="I6" s="76">
        <f>[29]Sheet1!$AC$214</f>
        <v>195237.65</v>
      </c>
      <c r="J6" s="1776">
        <v>195238</v>
      </c>
    </row>
    <row r="7" spans="1:10" ht="18.75" thickBot="1" x14ac:dyDescent="0.4">
      <c r="B7" s="64"/>
      <c r="C7" s="810"/>
      <c r="D7" s="806"/>
      <c r="E7" s="810"/>
      <c r="F7" s="812"/>
      <c r="J7" s="1504"/>
    </row>
    <row r="8" spans="1:10" ht="19.5" thickTop="1" thickBot="1" x14ac:dyDescent="0.4">
      <c r="A8" s="175"/>
      <c r="B8" s="106" t="s">
        <v>366</v>
      </c>
      <c r="C8" s="811">
        <f>SUM(C5:C7)</f>
        <v>214465</v>
      </c>
      <c r="D8" s="218">
        <f>SUM(D5:D7)</f>
        <v>181241.57</v>
      </c>
      <c r="E8" s="218">
        <f>SUM(E5:E7)</f>
        <v>-33223.429999999993</v>
      </c>
      <c r="F8" s="218">
        <f>SUM(F5:F7)</f>
        <v>191020</v>
      </c>
      <c r="G8" s="218">
        <f t="shared" ref="G8:J8" si="0">SUM(G5:G7)</f>
        <v>221487</v>
      </c>
      <c r="H8" s="218">
        <f t="shared" si="0"/>
        <v>227393</v>
      </c>
      <c r="I8" s="218">
        <f t="shared" si="0"/>
        <v>213203.65</v>
      </c>
      <c r="J8" s="1777">
        <f t="shared" si="0"/>
        <v>213204</v>
      </c>
    </row>
    <row r="9" spans="1:10" ht="19.5" thickTop="1" thickBot="1" x14ac:dyDescent="0.4">
      <c r="C9" s="812"/>
      <c r="D9" s="312"/>
      <c r="E9" s="812"/>
      <c r="F9" s="812"/>
      <c r="J9" s="1504"/>
    </row>
    <row r="10" spans="1:10" ht="65.099999999999994" customHeight="1" thickBot="1" x14ac:dyDescent="0.35">
      <c r="A10" s="1415" t="s">
        <v>374</v>
      </c>
      <c r="B10" s="1344"/>
      <c r="C10" s="325" t="s">
        <v>852</v>
      </c>
      <c r="D10" s="325" t="s">
        <v>881</v>
      </c>
      <c r="E10" s="325" t="s">
        <v>785</v>
      </c>
      <c r="F10" s="551" t="s">
        <v>944</v>
      </c>
      <c r="G10" s="1428" t="s">
        <v>943</v>
      </c>
      <c r="H10" s="1588" t="s">
        <v>1013</v>
      </c>
      <c r="I10" s="671" t="s">
        <v>1123</v>
      </c>
      <c r="J10" s="1775" t="s">
        <v>1097</v>
      </c>
    </row>
    <row r="11" spans="1:10" ht="18" x14ac:dyDescent="0.35">
      <c r="C11" s="809"/>
      <c r="D11" s="807"/>
      <c r="E11" s="809"/>
      <c r="F11" s="812"/>
      <c r="J11" s="1504"/>
    </row>
    <row r="12" spans="1:10" ht="18" x14ac:dyDescent="0.35">
      <c r="A12" s="73">
        <v>62121</v>
      </c>
      <c r="B12" s="74" t="s">
        <v>714</v>
      </c>
      <c r="C12" s="809">
        <v>214465</v>
      </c>
      <c r="D12" s="805">
        <f>'117-Rev-Other Sources &amp; Expense'!K12</f>
        <v>186445.22</v>
      </c>
      <c r="E12" s="809">
        <f>D12-C12</f>
        <v>-28019.78</v>
      </c>
      <c r="F12" s="812">
        <v>191020</v>
      </c>
      <c r="G12" s="774">
        <v>221487</v>
      </c>
      <c r="H12" s="1564">
        <v>227793</v>
      </c>
      <c r="I12" s="204">
        <f>'117-Rev-Other Sources &amp; Expense'!P12</f>
        <v>162282.73000000001</v>
      </c>
      <c r="J12" s="1776">
        <v>213204</v>
      </c>
    </row>
    <row r="13" spans="1:10" ht="18.75" thickBot="1" x14ac:dyDescent="0.4">
      <c r="B13" s="64"/>
      <c r="C13" s="810"/>
      <c r="D13" s="806"/>
      <c r="E13" s="810"/>
      <c r="F13" s="812"/>
      <c r="J13" s="1504"/>
    </row>
    <row r="14" spans="1:10" ht="19.5" thickTop="1" thickBot="1" x14ac:dyDescent="0.4">
      <c r="A14" s="175"/>
      <c r="B14" s="106" t="s">
        <v>369</v>
      </c>
      <c r="C14" s="811">
        <f>SUM(C12:C13)</f>
        <v>214465</v>
      </c>
      <c r="D14" s="218">
        <f>SUM(D12:D13)</f>
        <v>186445.22</v>
      </c>
      <c r="E14" s="218">
        <f>SUM(E12:E13)</f>
        <v>-28019.78</v>
      </c>
      <c r="F14" s="218">
        <f>SUM(F12:F13)</f>
        <v>191020</v>
      </c>
      <c r="G14" s="218">
        <f t="shared" ref="G14:J14" si="1">SUM(G12:G13)</f>
        <v>221487</v>
      </c>
      <c r="H14" s="218">
        <f t="shared" si="1"/>
        <v>227793</v>
      </c>
      <c r="I14" s="218">
        <f t="shared" si="1"/>
        <v>162282.73000000001</v>
      </c>
      <c r="J14" s="1777">
        <f t="shared" si="1"/>
        <v>213204</v>
      </c>
    </row>
    <row r="15" spans="1:10" ht="15.75" thickTop="1" x14ac:dyDescent="0.25"/>
    <row r="17" spans="4:4" x14ac:dyDescent="0.25">
      <c r="D17" s="76"/>
    </row>
  </sheetData>
  <pageMargins left="0.7" right="0.7" top="0.75" bottom="0.75" header="0.3" footer="0.3"/>
  <pageSetup paperSize="5" scale="97" fitToHeight="0" orientation="portrait" r:id="rId1"/>
  <headerFooter>
    <oddHeader>&amp;RPAGE 38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33"/>
  <sheetViews>
    <sheetView tabSelected="1" topLeftCell="A51" zoomScale="89" zoomScaleNormal="89" workbookViewId="0">
      <selection activeCell="C51" sqref="C51"/>
    </sheetView>
  </sheetViews>
  <sheetFormatPr defaultColWidth="9.140625" defaultRowHeight="15" x14ac:dyDescent="0.25"/>
  <cols>
    <col min="1" max="1" width="5.5703125" style="227" customWidth="1"/>
    <col min="2" max="2" width="20.42578125" style="227" customWidth="1"/>
    <col min="3" max="3" width="69" style="227" customWidth="1"/>
    <col min="4" max="4" width="22.28515625" style="230" hidden="1" customWidth="1"/>
    <col min="5" max="5" width="23.28515625" style="230" hidden="1" customWidth="1"/>
    <col min="6" max="6" width="19.5703125" style="225" hidden="1" customWidth="1"/>
    <col min="7" max="7" width="21.5703125" style="227" hidden="1" customWidth="1"/>
    <col min="8" max="8" width="20.5703125" style="231" hidden="1" customWidth="1"/>
    <col min="9" max="10" width="21.42578125" style="227" hidden="1" customWidth="1"/>
    <col min="11" max="11" width="25.42578125" style="227" hidden="1" customWidth="1"/>
    <col min="12" max="12" width="21.42578125" style="227" hidden="1" customWidth="1"/>
    <col min="13" max="13" width="27" style="227" hidden="1" customWidth="1"/>
    <col min="14" max="14" width="20" style="227" hidden="1" customWidth="1"/>
    <col min="15" max="15" width="17.28515625" style="227" hidden="1" customWidth="1"/>
    <col min="16" max="16" width="22.140625" style="227" hidden="1" customWidth="1"/>
    <col min="17" max="17" width="17.42578125" style="227" hidden="1" customWidth="1"/>
    <col min="18" max="18" width="25.85546875" style="227" hidden="1" customWidth="1"/>
    <col min="19" max="19" width="22" style="227" hidden="1" customWidth="1"/>
    <col min="20" max="20" width="27.42578125" style="230" hidden="1" customWidth="1"/>
    <col min="21" max="21" width="22.7109375" style="759" hidden="1" customWidth="1"/>
    <col min="22" max="22" width="27.42578125" style="763" hidden="1" customWidth="1"/>
    <col min="23" max="23" width="17.7109375" style="227" hidden="1" customWidth="1"/>
    <col min="24" max="24" width="17.5703125" style="763" hidden="1" customWidth="1"/>
    <col min="25" max="26" width="23.42578125" style="230" hidden="1" customWidth="1"/>
    <col min="27" max="27" width="20" style="759" hidden="1" customWidth="1"/>
    <col min="28" max="28" width="20" style="227" hidden="1" customWidth="1"/>
    <col min="29" max="29" width="16.42578125" style="231" hidden="1" customWidth="1"/>
    <col min="30" max="30" width="22.28515625" style="230" hidden="1" customWidth="1"/>
    <col min="31" max="31" width="20" style="763" hidden="1" customWidth="1"/>
    <col min="32" max="32" width="65.42578125" style="227" hidden="1" customWidth="1"/>
    <col min="33" max="33" width="21.28515625" style="225" hidden="1" customWidth="1"/>
    <col min="34" max="34" width="20" style="225" hidden="1" customWidth="1"/>
    <col min="35" max="37" width="20.85546875" style="225" hidden="1" customWidth="1"/>
    <col min="38" max="38" width="19.42578125" style="225" hidden="1" customWidth="1"/>
    <col min="39" max="40" width="20" style="227" hidden="1" customWidth="1"/>
    <col min="41" max="41" width="22.42578125" style="763" customWidth="1"/>
    <col min="42" max="42" width="9.42578125" style="227" bestFit="1" customWidth="1"/>
    <col min="43" max="16384" width="9.140625" style="227"/>
  </cols>
  <sheetData>
    <row r="1" spans="1:41" ht="20.25" x14ac:dyDescent="0.3">
      <c r="A1" s="222"/>
      <c r="B1" s="223">
        <f ca="1">NOW()</f>
        <v>44259.508154745374</v>
      </c>
      <c r="C1" s="368"/>
      <c r="D1" s="224"/>
      <c r="E1" s="224"/>
      <c r="G1" s="226"/>
      <c r="H1" s="226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1050"/>
      <c r="AB1" s="1050"/>
      <c r="AC1" s="1050"/>
      <c r="AD1" s="224"/>
      <c r="AG1" s="1478"/>
      <c r="AH1" s="1478"/>
      <c r="AI1" s="1478"/>
      <c r="AJ1" s="1478"/>
      <c r="AK1" s="1478"/>
      <c r="AL1" s="1478"/>
      <c r="AM1" s="1478"/>
      <c r="AN1" s="1478"/>
      <c r="AO1" s="1621"/>
    </row>
    <row r="2" spans="1:41" s="271" customFormat="1" ht="18.75" x14ac:dyDescent="0.3">
      <c r="A2" s="1838" t="s">
        <v>518</v>
      </c>
      <c r="B2" s="1838"/>
      <c r="C2" s="1838"/>
      <c r="D2" s="1838"/>
      <c r="E2" s="1838"/>
      <c r="F2" s="1838"/>
      <c r="G2" s="270"/>
      <c r="H2" s="270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1050"/>
      <c r="AB2" s="1050"/>
      <c r="AC2" s="1050"/>
      <c r="AD2" s="224"/>
      <c r="AE2" s="1262"/>
      <c r="AG2" s="1478"/>
      <c r="AH2" s="1478"/>
      <c r="AI2" s="1478"/>
      <c r="AJ2" s="1478"/>
      <c r="AK2" s="1478"/>
      <c r="AL2" s="1478"/>
      <c r="AM2" s="1478"/>
      <c r="AN2" s="1478"/>
      <c r="AO2" s="1621"/>
    </row>
    <row r="3" spans="1:41" s="271" customFormat="1" ht="18.75" x14ac:dyDescent="0.3">
      <c r="A3" s="1838" t="s">
        <v>1070</v>
      </c>
      <c r="B3" s="1838"/>
      <c r="C3" s="1838"/>
      <c r="D3" s="1838"/>
      <c r="E3" s="1838"/>
      <c r="F3" s="1838"/>
      <c r="G3" s="270"/>
      <c r="H3" s="270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1050"/>
      <c r="AB3" s="1050"/>
      <c r="AC3" s="1050"/>
      <c r="AD3" s="224"/>
      <c r="AE3" s="1262"/>
      <c r="AG3" s="1478"/>
      <c r="AH3" s="1478"/>
      <c r="AI3" s="1478"/>
      <c r="AJ3" s="1478"/>
      <c r="AK3" s="1478"/>
      <c r="AL3" s="1478"/>
      <c r="AM3" s="1478"/>
      <c r="AN3" s="1478"/>
      <c r="AO3" s="1621"/>
    </row>
    <row r="4" spans="1:41" s="271" customFormat="1" ht="19.5" thickBot="1" x14ac:dyDescent="0.35">
      <c r="A4" s="270"/>
      <c r="B4" s="270"/>
      <c r="C4" s="1279" t="s">
        <v>1107</v>
      </c>
      <c r="D4" s="270"/>
      <c r="E4" s="270"/>
      <c r="F4" s="270"/>
      <c r="G4" s="270"/>
      <c r="H4" s="270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1050"/>
      <c r="AB4" s="1050"/>
      <c r="AC4" s="1050"/>
      <c r="AD4" s="224"/>
      <c r="AE4" s="1262"/>
      <c r="AG4" s="1478"/>
      <c r="AH4" s="1478"/>
      <c r="AI4" s="1478"/>
      <c r="AJ4" s="1478"/>
      <c r="AK4" s="1478"/>
      <c r="AL4" s="1478"/>
      <c r="AM4" s="1478"/>
      <c r="AN4" s="1478"/>
      <c r="AO4" s="1621"/>
    </row>
    <row r="5" spans="1:41" ht="60" customHeight="1" thickBot="1" x14ac:dyDescent="0.4">
      <c r="A5" s="228"/>
      <c r="B5" s="504"/>
      <c r="C5" s="505" t="s">
        <v>521</v>
      </c>
      <c r="D5" s="506" t="s">
        <v>494</v>
      </c>
      <c r="E5" s="506" t="s">
        <v>643</v>
      </c>
      <c r="F5" s="507"/>
      <c r="G5" s="508" t="s">
        <v>599</v>
      </c>
      <c r="H5" s="509" t="s">
        <v>600</v>
      </c>
      <c r="I5" s="503"/>
      <c r="J5" s="510" t="s">
        <v>659</v>
      </c>
      <c r="K5" s="511" t="s">
        <v>665</v>
      </c>
      <c r="L5" s="511" t="s">
        <v>683</v>
      </c>
      <c r="M5" s="512" t="s">
        <v>665</v>
      </c>
      <c r="N5" s="513" t="s">
        <v>708</v>
      </c>
      <c r="O5" s="510" t="s">
        <v>710</v>
      </c>
      <c r="P5" s="514" t="s">
        <v>696</v>
      </c>
      <c r="Q5" s="515" t="s">
        <v>616</v>
      </c>
      <c r="R5" s="516" t="s">
        <v>709</v>
      </c>
      <c r="S5" s="517" t="s">
        <v>747</v>
      </c>
      <c r="T5" s="868" t="s">
        <v>777</v>
      </c>
      <c r="U5" s="888" t="s">
        <v>824</v>
      </c>
      <c r="V5" s="931" t="s">
        <v>829</v>
      </c>
      <c r="W5" s="869" t="s">
        <v>790</v>
      </c>
      <c r="X5" s="904" t="s">
        <v>798</v>
      </c>
      <c r="Y5" s="1154" t="s">
        <v>852</v>
      </c>
      <c r="Z5" s="1058" t="s">
        <v>857</v>
      </c>
      <c r="AA5" s="1051" t="s">
        <v>884</v>
      </c>
      <c r="AB5" s="1072" t="s">
        <v>798</v>
      </c>
      <c r="AC5" s="1166" t="s">
        <v>865</v>
      </c>
      <c r="AD5" s="1255" t="s">
        <v>960</v>
      </c>
      <c r="AG5" s="1441" t="s">
        <v>980</v>
      </c>
      <c r="AH5" s="1441" t="s">
        <v>798</v>
      </c>
      <c r="AI5" s="1441" t="s">
        <v>972</v>
      </c>
      <c r="AJ5" s="1441" t="s">
        <v>963</v>
      </c>
      <c r="AK5" s="1441" t="s">
        <v>983</v>
      </c>
      <c r="AL5" s="1543" t="s">
        <v>943</v>
      </c>
      <c r="AM5" s="1551" t="s">
        <v>988</v>
      </c>
      <c r="AN5" s="1611" t="s">
        <v>1018</v>
      </c>
      <c r="AO5" s="1428" t="s">
        <v>1109</v>
      </c>
    </row>
    <row r="6" spans="1:41" ht="15.75" hidden="1" thickBot="1" x14ac:dyDescent="0.3">
      <c r="A6" s="228"/>
      <c r="B6" s="518" t="s">
        <v>503</v>
      </c>
      <c r="C6" s="519" t="s">
        <v>509</v>
      </c>
      <c r="D6" s="520"/>
      <c r="E6" s="520" t="e">
        <f>'GENERAL FUND REVENUE'!#REF!</f>
        <v>#REF!</v>
      </c>
      <c r="F6" s="521"/>
      <c r="G6" s="488"/>
      <c r="H6" s="522"/>
      <c r="I6" s="448"/>
      <c r="J6" s="488" t="e">
        <f>E6</f>
        <v>#REF!</v>
      </c>
      <c r="K6" s="523"/>
      <c r="L6" s="448"/>
      <c r="M6" s="448"/>
      <c r="N6" s="448"/>
      <c r="O6" s="448"/>
      <c r="P6" s="448"/>
      <c r="Q6" s="448"/>
      <c r="R6" s="448"/>
      <c r="S6" s="448"/>
      <c r="T6" s="488"/>
      <c r="U6" s="870"/>
      <c r="V6" s="577"/>
      <c r="W6" s="448"/>
      <c r="X6" s="577"/>
      <c r="Y6" s="932"/>
      <c r="Z6" s="1118"/>
      <c r="AA6" s="1052"/>
    </row>
    <row r="7" spans="1:41" ht="16.5" hidden="1" thickBot="1" x14ac:dyDescent="0.3">
      <c r="A7" s="228"/>
      <c r="B7" s="524"/>
      <c r="C7" s="405" t="s">
        <v>738</v>
      </c>
      <c r="D7" s="525"/>
      <c r="E7" s="525"/>
      <c r="F7" s="526"/>
      <c r="G7" s="451"/>
      <c r="H7" s="527"/>
      <c r="I7" s="449"/>
      <c r="J7" s="451"/>
      <c r="K7" s="528"/>
      <c r="L7" s="449"/>
      <c r="M7" s="449"/>
      <c r="N7" s="449"/>
      <c r="O7" s="449"/>
      <c r="P7" s="449"/>
      <c r="Q7" s="449"/>
      <c r="R7" s="450" t="e">
        <f>'GENERAL FUND REVENUE'!#REF!</f>
        <v>#REF!</v>
      </c>
      <c r="S7" s="451">
        <v>10000</v>
      </c>
      <c r="T7" s="871">
        <f>S7</f>
        <v>10000</v>
      </c>
      <c r="U7" s="872">
        <v>0</v>
      </c>
      <c r="V7" s="450"/>
      <c r="W7" s="449"/>
      <c r="X7" s="450"/>
      <c r="Y7" s="933"/>
      <c r="Z7" s="1119"/>
      <c r="AA7" s="1053"/>
    </row>
    <row r="8" spans="1:41" ht="16.5" hidden="1" thickBot="1" x14ac:dyDescent="0.3">
      <c r="A8" s="228"/>
      <c r="B8" s="524"/>
      <c r="C8" s="405" t="s">
        <v>739</v>
      </c>
      <c r="D8" s="525"/>
      <c r="E8" s="525"/>
      <c r="F8" s="526"/>
      <c r="G8" s="451"/>
      <c r="H8" s="527"/>
      <c r="I8" s="449"/>
      <c r="J8" s="451"/>
      <c r="K8" s="528"/>
      <c r="L8" s="449"/>
      <c r="M8" s="449"/>
      <c r="N8" s="449"/>
      <c r="O8" s="449"/>
      <c r="P8" s="449"/>
      <c r="Q8" s="449"/>
      <c r="R8" s="450" t="e">
        <f>'GENERAL FUND REVENUE'!#REF!</f>
        <v>#REF!</v>
      </c>
      <c r="S8" s="451">
        <v>101000</v>
      </c>
      <c r="T8" s="871">
        <f t="shared" ref="T8:T14" si="0">S8</f>
        <v>101000</v>
      </c>
      <c r="U8" s="872">
        <v>0</v>
      </c>
      <c r="V8" s="450"/>
      <c r="W8" s="449"/>
      <c r="X8" s="450"/>
      <c r="Y8" s="933"/>
      <c r="Z8" s="1119"/>
      <c r="AA8" s="1053"/>
    </row>
    <row r="9" spans="1:41" ht="16.5" hidden="1" thickBot="1" x14ac:dyDescent="0.3">
      <c r="A9" s="228"/>
      <c r="B9" s="524"/>
      <c r="C9" s="410" t="s">
        <v>803</v>
      </c>
      <c r="D9" s="525"/>
      <c r="E9" s="525"/>
      <c r="F9" s="526"/>
      <c r="G9" s="451"/>
      <c r="H9" s="527"/>
      <c r="I9" s="449"/>
      <c r="J9" s="451"/>
      <c r="K9" s="529">
        <v>1458248</v>
      </c>
      <c r="L9" s="529" t="e">
        <f>'GENERAL FUND REVENUE'!#REF!</f>
        <v>#REF!</v>
      </c>
      <c r="M9" s="529" t="e">
        <f>L9</f>
        <v>#REF!</v>
      </c>
      <c r="N9" s="528" t="e">
        <f>L9</f>
        <v>#REF!</v>
      </c>
      <c r="O9" s="527" t="e">
        <f t="shared" ref="O9:O17" si="1">N9/L9</f>
        <v>#REF!</v>
      </c>
      <c r="P9" s="528" t="e">
        <f>'GENERAL FUND REVENUE'!#REF!</f>
        <v>#REF!</v>
      </c>
      <c r="Q9" s="449"/>
      <c r="R9" s="450" t="e">
        <f>'GENERAL FUND REVENUE'!#REF!</f>
        <v>#REF!</v>
      </c>
      <c r="S9" s="451">
        <v>10000</v>
      </c>
      <c r="T9" s="871">
        <f t="shared" si="0"/>
        <v>10000</v>
      </c>
      <c r="U9" s="872">
        <v>0</v>
      </c>
      <c r="V9" s="450"/>
      <c r="W9" s="449"/>
      <c r="X9" s="450"/>
      <c r="Y9" s="933"/>
      <c r="Z9" s="1119"/>
      <c r="AA9" s="1053"/>
    </row>
    <row r="10" spans="1:41" ht="16.5" thickBot="1" x14ac:dyDescent="0.3">
      <c r="A10" s="228"/>
      <c r="B10" s="524" t="s">
        <v>503</v>
      </c>
      <c r="C10" s="530" t="s">
        <v>213</v>
      </c>
      <c r="D10" s="525">
        <v>2499293</v>
      </c>
      <c r="E10" s="525" t="e">
        <f>'GENERAL FUND REVENUE'!#REF!</f>
        <v>#REF!</v>
      </c>
      <c r="F10" s="526"/>
      <c r="G10" s="531" t="e">
        <f>'GENERAL FUND REVENUE'!#REF!</f>
        <v>#REF!</v>
      </c>
      <c r="H10" s="532" t="e">
        <f>G10/E10</f>
        <v>#REF!</v>
      </c>
      <c r="I10" s="449"/>
      <c r="J10" s="451" t="e">
        <f>'GENERAL FUND REVENUE'!#REF!</f>
        <v>#REF!</v>
      </c>
      <c r="K10" s="528" t="e">
        <f>'GENERAL FUND REVENUE'!#REF!</f>
        <v>#REF!</v>
      </c>
      <c r="L10" s="528" t="e">
        <f>'GENERAL FUND REVENUE'!#REF!</f>
        <v>#REF!</v>
      </c>
      <c r="M10" s="528" t="e">
        <f>L10</f>
        <v>#REF!</v>
      </c>
      <c r="N10" s="451" t="e">
        <f>'GENERAL FUND REVENUE'!#REF!</f>
        <v>#REF!</v>
      </c>
      <c r="O10" s="527" t="e">
        <f t="shared" si="1"/>
        <v>#REF!</v>
      </c>
      <c r="P10" s="451" t="e">
        <f>'GENERAL FUND REVENUE'!#REF!</f>
        <v>#REF!</v>
      </c>
      <c r="Q10" s="449"/>
      <c r="R10" s="451" t="e">
        <f>'GENERAL FUND REVENUE'!#REF!</f>
        <v>#REF!</v>
      </c>
      <c r="S10" s="451" t="e">
        <f>'GENERAL FUND REVENUE'!#REF!</f>
        <v>#REF!</v>
      </c>
      <c r="T10" s="871" t="e">
        <f t="shared" si="0"/>
        <v>#REF!</v>
      </c>
      <c r="U10" s="872" t="e">
        <f>'GENERAL FUND REVENUE'!#REF!</f>
        <v>#REF!</v>
      </c>
      <c r="V10" s="450" t="e">
        <f>'GENERAL FUND REVENUE'!H59</f>
        <v>#REF!</v>
      </c>
      <c r="W10" s="450" t="e">
        <f>V10</f>
        <v>#REF!</v>
      </c>
      <c r="X10" s="450" t="e">
        <f t="shared" ref="X10:X17" si="2">U10-V10</f>
        <v>#REF!</v>
      </c>
      <c r="Y10" s="955">
        <f>'[1]GENERAL FUND SUMMARY'!$Y$10</f>
        <v>2698912</v>
      </c>
      <c r="Z10" s="1169">
        <f>'GENERAL FUND REVENUE'!J59</f>
        <v>2708020</v>
      </c>
      <c r="AA10" s="1053">
        <f>'GENERAL FUND REVENUE'!K59</f>
        <v>2704184.02</v>
      </c>
      <c r="AB10" s="225">
        <f>Z10-AA10</f>
        <v>3835.9799999999814</v>
      </c>
      <c r="AC10" s="231">
        <f>AA10/Z10</f>
        <v>0.99858347427271588</v>
      </c>
      <c r="AD10" s="225">
        <f>'GENERAL FUND REVENUE'!O59</f>
        <v>2942105</v>
      </c>
      <c r="AG10" s="1476">
        <f>'GENERAL FUND REVENUE'!P59</f>
        <v>2445514.35</v>
      </c>
      <c r="AH10" s="1477">
        <f>AG10-AD10</f>
        <v>-496590.64999999991</v>
      </c>
      <c r="AI10" s="1477">
        <f>'GENERAL FUND REVENUE'!R59</f>
        <v>2674273</v>
      </c>
      <c r="AJ10" s="1477">
        <f>'GENERAL FUND REVENUE'!S59</f>
        <v>2675329</v>
      </c>
      <c r="AK10" s="1477">
        <f>AJ10</f>
        <v>2675329</v>
      </c>
      <c r="AL10" s="1479">
        <f>'GENERAL FUND REVENUE'!R59</f>
        <v>2674273</v>
      </c>
      <c r="AM10" s="1550">
        <f>'GENERAL FUND REVENUE'!U59</f>
        <v>2836180</v>
      </c>
      <c r="AN10" s="1550">
        <f>'GENERAL FUND REVENUE'!V59</f>
        <v>2818838</v>
      </c>
      <c r="AO10" s="763">
        <f>'GENERAL FUND REVENUE'!AB59</f>
        <v>2922275.5</v>
      </c>
    </row>
    <row r="11" spans="1:41" ht="16.5" hidden="1" thickBot="1" x14ac:dyDescent="0.3">
      <c r="A11" s="228"/>
      <c r="B11" s="947" t="s">
        <v>806</v>
      </c>
      <c r="C11" s="405" t="s">
        <v>807</v>
      </c>
      <c r="D11" s="525"/>
      <c r="E11" s="525"/>
      <c r="F11" s="526"/>
      <c r="G11" s="531"/>
      <c r="H11" s="532"/>
      <c r="I11" s="449"/>
      <c r="J11" s="451"/>
      <c r="K11" s="528"/>
      <c r="L11" s="528"/>
      <c r="M11" s="528"/>
      <c r="N11" s="451"/>
      <c r="O11" s="527"/>
      <c r="P11" s="451"/>
      <c r="Q11" s="449"/>
      <c r="R11" s="451"/>
      <c r="S11" s="451"/>
      <c r="T11" s="871"/>
      <c r="U11" s="872"/>
      <c r="V11" s="450"/>
      <c r="W11" s="450"/>
      <c r="X11" s="450">
        <f t="shared" si="2"/>
        <v>0</v>
      </c>
      <c r="Y11" s="933"/>
      <c r="Z11" s="1119"/>
      <c r="AA11" s="1053"/>
      <c r="AG11" s="1480"/>
      <c r="AH11" s="1481"/>
      <c r="AI11" s="1481"/>
      <c r="AJ11" s="1481"/>
      <c r="AK11" s="1481"/>
      <c r="AL11" s="1482"/>
    </row>
    <row r="12" spans="1:41" ht="16.5" thickBot="1" x14ac:dyDescent="0.3">
      <c r="A12" s="228"/>
      <c r="B12" s="524" t="s">
        <v>337</v>
      </c>
      <c r="C12" s="530" t="s">
        <v>505</v>
      </c>
      <c r="D12" s="525">
        <v>111100</v>
      </c>
      <c r="E12" s="525">
        <v>140118</v>
      </c>
      <c r="F12" s="526"/>
      <c r="G12" s="451" t="e">
        <f>'GENERAL FUND REVENUE'!#REF!</f>
        <v>#REF!</v>
      </c>
      <c r="H12" s="527"/>
      <c r="I12" s="449"/>
      <c r="J12" s="451" t="e">
        <f>'GENERAL FUND REVENUE'!#REF!</f>
        <v>#REF!</v>
      </c>
      <c r="K12" s="528" t="e">
        <f>'GENERAL FUND REVENUE'!#REF!</f>
        <v>#REF!</v>
      </c>
      <c r="L12" s="528">
        <v>145304</v>
      </c>
      <c r="M12" s="528">
        <f>L12</f>
        <v>145304</v>
      </c>
      <c r="N12" s="451" t="e">
        <f>'GENERAL FUND REVENUE'!#REF!</f>
        <v>#REF!</v>
      </c>
      <c r="O12" s="527" t="e">
        <f t="shared" si="1"/>
        <v>#REF!</v>
      </c>
      <c r="P12" s="528" t="e">
        <f>'GENERAL FUND REVENUE'!#REF!</f>
        <v>#REF!</v>
      </c>
      <c r="Q12" s="449"/>
      <c r="R12" s="450" t="e">
        <f>'GENERAL FUND REVENUE'!#REF!</f>
        <v>#REF!</v>
      </c>
      <c r="S12" s="451" t="e">
        <f>'GENERAL FUND REVENUE'!#REF!</f>
        <v>#REF!</v>
      </c>
      <c r="T12" s="871" t="e">
        <f t="shared" si="0"/>
        <v>#REF!</v>
      </c>
      <c r="U12" s="872" t="e">
        <f>'GENERAL FUND REVENUE'!#REF!</f>
        <v>#REF!</v>
      </c>
      <c r="V12" s="450">
        <f>'GENERAL FUND REVENUE'!H63</f>
        <v>301341</v>
      </c>
      <c r="W12" s="450">
        <f>V12</f>
        <v>301341</v>
      </c>
      <c r="X12" s="450" t="e">
        <f t="shared" si="2"/>
        <v>#REF!</v>
      </c>
      <c r="Y12" s="957">
        <f>'[1]GENERAL FUND SUMMARY'!$Y$12</f>
        <v>369323</v>
      </c>
      <c r="Z12" s="1120">
        <f>Y12</f>
        <v>369323</v>
      </c>
      <c r="AA12" s="1053">
        <f>'GENERAL FUND REVENUE'!K63</f>
        <v>277306.08</v>
      </c>
      <c r="AB12" s="230">
        <f>Z12-AA12</f>
        <v>92016.919999999984</v>
      </c>
      <c r="AC12" s="231">
        <f>AA12/Z12</f>
        <v>0.75084974399103233</v>
      </c>
      <c r="AD12" s="230">
        <f>'GENERAL FUND REVENUE'!O63</f>
        <v>301341</v>
      </c>
      <c r="AG12" s="1480">
        <f>'GENERAL FUND REVENUE'!P63</f>
        <v>283265.44</v>
      </c>
      <c r="AH12" s="1477">
        <f t="shared" ref="AH12:AH13" si="3">AG12-AD12</f>
        <v>-18075.559999999998</v>
      </c>
      <c r="AI12" s="1481">
        <f>'GENERAL FUND REVENUE'!R63</f>
        <v>320000</v>
      </c>
      <c r="AJ12" s="1481">
        <f>'GENERAL FUND REVENUE'!S63</f>
        <v>320000</v>
      </c>
      <c r="AK12" s="1477">
        <f t="shared" ref="AK12:AK14" si="4">AJ12</f>
        <v>320000</v>
      </c>
      <c r="AL12" s="1482">
        <f>'GENERAL FUND REVENUE'!S63</f>
        <v>320000</v>
      </c>
      <c r="AM12" s="225">
        <f t="shared" ref="AM12:AM14" si="5">AL12</f>
        <v>320000</v>
      </c>
      <c r="AN12" s="225">
        <f>'GENERAL FUND REVENUE'!V63</f>
        <v>320000</v>
      </c>
      <c r="AO12" s="763">
        <f>'GENERAL FUND REVENUE'!AB63</f>
        <v>311401</v>
      </c>
    </row>
    <row r="13" spans="1:41" ht="16.5" thickBot="1" x14ac:dyDescent="0.3">
      <c r="A13" s="228"/>
      <c r="B13" s="524" t="s">
        <v>504</v>
      </c>
      <c r="C13" s="530" t="s">
        <v>506</v>
      </c>
      <c r="D13" s="525">
        <v>326465</v>
      </c>
      <c r="E13" s="525">
        <v>53880</v>
      </c>
      <c r="F13" s="526"/>
      <c r="G13" s="451" t="e">
        <f>'GENERAL FUND REVENUE'!#REF!</f>
        <v>#REF!</v>
      </c>
      <c r="H13" s="527"/>
      <c r="I13" s="449"/>
      <c r="J13" s="449">
        <v>0</v>
      </c>
      <c r="K13" s="528" t="e">
        <f>'GENERAL FUND REVENUE'!#REF!</f>
        <v>#REF!</v>
      </c>
      <c r="L13" s="528">
        <v>172195</v>
      </c>
      <c r="M13" s="528">
        <f>L13</f>
        <v>172195</v>
      </c>
      <c r="N13" s="451" t="e">
        <f>'GENERAL FUND REVENUE'!#REF!</f>
        <v>#REF!</v>
      </c>
      <c r="O13" s="527" t="e">
        <f t="shared" si="1"/>
        <v>#REF!</v>
      </c>
      <c r="P13" s="528" t="e">
        <f>'GENERAL FUND REVENUE'!#REF!</f>
        <v>#REF!</v>
      </c>
      <c r="Q13" s="449"/>
      <c r="R13" s="450" t="e">
        <f>'GENERAL FUND REVENUE'!#REF!</f>
        <v>#REF!</v>
      </c>
      <c r="S13" s="451" t="e">
        <f>'GENERAL FUND REVENUE'!#REF!</f>
        <v>#REF!</v>
      </c>
      <c r="T13" s="871" t="e">
        <f t="shared" si="0"/>
        <v>#REF!</v>
      </c>
      <c r="U13" s="872" t="e">
        <f>'GENERAL FUND REVENUE'!#REF!</f>
        <v>#REF!</v>
      </c>
      <c r="V13" s="450">
        <f>'GENERAL FUND REVENUE'!H64</f>
        <v>73098</v>
      </c>
      <c r="W13" s="450">
        <f>V13</f>
        <v>73098</v>
      </c>
      <c r="X13" s="450" t="e">
        <f t="shared" si="2"/>
        <v>#REF!</v>
      </c>
      <c r="Y13" s="957">
        <f>'[1]GENERAL FUND SUMMARY'!$Y$13</f>
        <v>336015</v>
      </c>
      <c r="Z13" s="1120">
        <f t="shared" ref="Z13:Z14" si="6">Y13</f>
        <v>336015</v>
      </c>
      <c r="AA13" s="1053">
        <f>'GENERAL FUND REVENUE'!K64</f>
        <v>80244.84</v>
      </c>
      <c r="AB13" s="230">
        <f>Z13-AA13</f>
        <v>255770.16</v>
      </c>
      <c r="AC13" s="231">
        <f>AA13/Z13</f>
        <v>0.23881326726485425</v>
      </c>
      <c r="AD13" s="230">
        <f>'GENERAL FUND REVENUE'!O64</f>
        <v>73098</v>
      </c>
      <c r="AG13" s="1480">
        <f>'GENERAL FUND REVENUE'!P64</f>
        <v>194091.77</v>
      </c>
      <c r="AH13" s="1477">
        <f t="shared" si="3"/>
        <v>120993.76999999999</v>
      </c>
      <c r="AI13" s="1481">
        <f>'GENERAL FUND REVENUE'!R64</f>
        <v>112000</v>
      </c>
      <c r="AJ13" s="1481">
        <f>'GENERAL FUND REVENUE'!S64</f>
        <v>112000</v>
      </c>
      <c r="AK13" s="1477">
        <f t="shared" si="4"/>
        <v>112000</v>
      </c>
      <c r="AL13" s="1482">
        <f>'GENERAL FUND REVENUE'!R64</f>
        <v>112000</v>
      </c>
      <c r="AM13" s="225">
        <f t="shared" si="5"/>
        <v>112000</v>
      </c>
      <c r="AN13" s="225">
        <f>'GENERAL FUND REVENUE'!V64</f>
        <v>180000</v>
      </c>
      <c r="AO13" s="763">
        <f>'GENERAL FUND REVENUE'!AB64</f>
        <v>130328.5</v>
      </c>
    </row>
    <row r="14" spans="1:41" ht="16.5" thickBot="1" x14ac:dyDescent="0.3">
      <c r="A14" s="228"/>
      <c r="B14" s="524" t="s">
        <v>186</v>
      </c>
      <c r="C14" s="530" t="s">
        <v>507</v>
      </c>
      <c r="D14" s="525">
        <v>195448</v>
      </c>
      <c r="E14" s="525">
        <v>100000</v>
      </c>
      <c r="F14" s="526"/>
      <c r="G14" s="451" t="e">
        <f>'GENERAL FUND REVENUE'!#REF!</f>
        <v>#REF!</v>
      </c>
      <c r="H14" s="527"/>
      <c r="I14" s="449"/>
      <c r="J14" s="451" t="e">
        <f>'GENERAL FUND REVENUE'!#REF!</f>
        <v>#REF!</v>
      </c>
      <c r="K14" s="528" t="e">
        <f>'GENERAL FUND REVENUE'!#REF!</f>
        <v>#REF!</v>
      </c>
      <c r="L14" s="528">
        <v>100000</v>
      </c>
      <c r="M14" s="528">
        <f>L14</f>
        <v>100000</v>
      </c>
      <c r="N14" s="451" t="e">
        <f>'GENERAL FUND REVENUE'!#REF!</f>
        <v>#REF!</v>
      </c>
      <c r="O14" s="527" t="e">
        <f t="shared" si="1"/>
        <v>#REF!</v>
      </c>
      <c r="P14" s="528" t="e">
        <f>'GENERAL FUND REVENUE'!#REF!</f>
        <v>#REF!</v>
      </c>
      <c r="Q14" s="449"/>
      <c r="R14" s="450" t="e">
        <f>'GENERAL FUND REVENUE'!#REF!</f>
        <v>#REF!</v>
      </c>
      <c r="S14" s="451" t="e">
        <f>'GENERAL FUND REVENUE'!#REF!</f>
        <v>#REF!</v>
      </c>
      <c r="T14" s="871" t="e">
        <f t="shared" si="0"/>
        <v>#REF!</v>
      </c>
      <c r="U14" s="872" t="e">
        <f>'GENERAL FUND REVENUE'!#REF!</f>
        <v>#REF!</v>
      </c>
      <c r="V14" s="450">
        <f>'GENERAL FUND REVENUE'!H65</f>
        <v>97188</v>
      </c>
      <c r="W14" s="450">
        <f>V14</f>
        <v>97188</v>
      </c>
      <c r="X14" s="450" t="e">
        <f t="shared" si="2"/>
        <v>#REF!</v>
      </c>
      <c r="Y14" s="957">
        <f>'[1]GENERAL FUND SUMMARY'!$Y$14</f>
        <v>72556</v>
      </c>
      <c r="Z14" s="1120">
        <f t="shared" si="6"/>
        <v>72556</v>
      </c>
      <c r="AA14" s="1053">
        <f>'GENERAL FUND REVENUE'!K65</f>
        <v>70806.47</v>
      </c>
      <c r="AB14" s="230">
        <f>Z14-AA14</f>
        <v>1749.5299999999988</v>
      </c>
      <c r="AC14" s="231">
        <f>AA14/Z14</f>
        <v>0.97588717680136727</v>
      </c>
      <c r="AD14" s="230">
        <f>'GENERAL FUND REVENUE'!O65</f>
        <v>97188</v>
      </c>
      <c r="AG14" s="1483">
        <f>'GENERAL FUND REVENUE'!P65</f>
        <v>115650</v>
      </c>
      <c r="AH14" s="1484">
        <f>AG14-AD14</f>
        <v>18462</v>
      </c>
      <c r="AI14" s="1484">
        <f>'GENERAL FUND REVENUE'!R65</f>
        <v>120000</v>
      </c>
      <c r="AJ14" s="1484">
        <f>'GENERAL FUND REVENUE'!S65</f>
        <v>120000</v>
      </c>
      <c r="AK14" s="1477">
        <f t="shared" si="4"/>
        <v>120000</v>
      </c>
      <c r="AL14" s="1485">
        <f>'GENERAL FUND REVENUE'!R65</f>
        <v>120000</v>
      </c>
      <c r="AM14" s="225">
        <f t="shared" si="5"/>
        <v>120000</v>
      </c>
      <c r="AN14" s="225">
        <f>'GENERAL FUND REVENUE'!V65</f>
        <v>120000</v>
      </c>
      <c r="AO14" s="763">
        <f>'GENERAL FUND REVENUE'!AB65</f>
        <v>118503</v>
      </c>
    </row>
    <row r="15" spans="1:41" ht="16.5" hidden="1" thickBot="1" x14ac:dyDescent="0.3">
      <c r="A15" s="228"/>
      <c r="B15" s="873" t="s">
        <v>795</v>
      </c>
      <c r="C15" s="874" t="s">
        <v>796</v>
      </c>
      <c r="D15" s="533"/>
      <c r="E15" s="533"/>
      <c r="F15" s="534"/>
      <c r="G15" s="489"/>
      <c r="H15" s="535"/>
      <c r="I15" s="536"/>
      <c r="J15" s="489"/>
      <c r="K15" s="537"/>
      <c r="L15" s="537"/>
      <c r="M15" s="537"/>
      <c r="N15" s="489"/>
      <c r="O15" s="535"/>
      <c r="P15" s="537"/>
      <c r="Q15" s="536"/>
      <c r="R15" s="538"/>
      <c r="S15" s="489"/>
      <c r="T15" s="875"/>
      <c r="U15" s="876"/>
      <c r="V15" s="538"/>
      <c r="W15" s="538"/>
      <c r="X15" s="538">
        <f t="shared" si="2"/>
        <v>0</v>
      </c>
      <c r="Y15" s="934">
        <f>'GENERAL FUND REVENUE'!H66</f>
        <v>0</v>
      </c>
      <c r="Z15" s="1121"/>
      <c r="AA15" s="1054"/>
    </row>
    <row r="16" spans="1:41" ht="17.25" thickBot="1" x14ac:dyDescent="0.35">
      <c r="A16" s="228"/>
      <c r="B16" s="1704" t="s">
        <v>1110</v>
      </c>
      <c r="C16" s="1224" t="s">
        <v>886</v>
      </c>
      <c r="D16" s="243"/>
      <c r="E16" s="243"/>
      <c r="F16" s="248"/>
      <c r="G16" s="247"/>
      <c r="H16" s="245"/>
      <c r="I16" s="239"/>
      <c r="J16" s="247"/>
      <c r="K16" s="1705"/>
      <c r="L16" s="1705"/>
      <c r="M16" s="1705"/>
      <c r="N16" s="247"/>
      <c r="O16" s="245"/>
      <c r="P16" s="1705"/>
      <c r="Q16" s="1706"/>
      <c r="R16" s="411"/>
      <c r="S16" s="247"/>
      <c r="T16" s="1707"/>
      <c r="U16" s="760"/>
      <c r="V16" s="411"/>
      <c r="W16" s="411"/>
      <c r="X16" s="411"/>
      <c r="Y16" s="247"/>
      <c r="Z16" s="247"/>
      <c r="AA16" s="760"/>
      <c r="AO16" s="763">
        <f>'GENERAL FUND REVENUE'!AB67</f>
        <v>103200</v>
      </c>
    </row>
    <row r="17" spans="1:41" ht="19.5" thickBot="1" x14ac:dyDescent="0.35">
      <c r="A17" s="232"/>
      <c r="B17" s="877"/>
      <c r="C17" s="878" t="s">
        <v>508</v>
      </c>
      <c r="D17" s="879">
        <f>SUM(D10:D14)</f>
        <v>3132306</v>
      </c>
      <c r="E17" s="879" t="e">
        <f>SUM(E6:E14)</f>
        <v>#REF!</v>
      </c>
      <c r="F17" s="880"/>
      <c r="G17" s="881" t="e">
        <f>SUM(G6:G14)</f>
        <v>#REF!</v>
      </c>
      <c r="H17" s="882" t="e">
        <f>G17/E17</f>
        <v>#REF!</v>
      </c>
      <c r="I17" s="883"/>
      <c r="J17" s="879" t="e">
        <f t="shared" ref="J17:P17" si="7">SUM(J6:J14)</f>
        <v>#REF!</v>
      </c>
      <c r="K17" s="879" t="e">
        <f t="shared" si="7"/>
        <v>#REF!</v>
      </c>
      <c r="L17" s="879" t="e">
        <f t="shared" si="7"/>
        <v>#REF!</v>
      </c>
      <c r="M17" s="879" t="e">
        <f t="shared" si="7"/>
        <v>#REF!</v>
      </c>
      <c r="N17" s="879" t="e">
        <f t="shared" si="7"/>
        <v>#REF!</v>
      </c>
      <c r="O17" s="884" t="e">
        <f t="shared" si="1"/>
        <v>#REF!</v>
      </c>
      <c r="P17" s="879" t="e">
        <f t="shared" si="7"/>
        <v>#REF!</v>
      </c>
      <c r="Q17" s="885"/>
      <c r="R17" s="879" t="e">
        <f>SUM(R9:R14)</f>
        <v>#REF!</v>
      </c>
      <c r="S17" s="879" t="e">
        <f>SUM(S9:S14)</f>
        <v>#REF!</v>
      </c>
      <c r="T17" s="886" t="e">
        <f>SUM(T9:T14)</f>
        <v>#REF!</v>
      </c>
      <c r="U17" s="886" t="e">
        <f>SUM(U9:U14)</f>
        <v>#REF!</v>
      </c>
      <c r="V17" s="886" t="e">
        <f>SUM(V9:V15)</f>
        <v>#REF!</v>
      </c>
      <c r="W17" s="887" t="e">
        <f>V17</f>
        <v>#REF!</v>
      </c>
      <c r="X17" s="905" t="e">
        <f t="shared" si="2"/>
        <v>#REF!</v>
      </c>
      <c r="Y17" s="886">
        <f>SUM(Y9:Y15)</f>
        <v>3476806</v>
      </c>
      <c r="Z17" s="886">
        <f>SUM(Z9:Z15)</f>
        <v>3485914</v>
      </c>
      <c r="AA17" s="1055">
        <f>SUM(AA10:AA15)</f>
        <v>3132541.41</v>
      </c>
      <c r="AB17" s="1055">
        <f>SUM(AB10:AB15)</f>
        <v>353372.58999999997</v>
      </c>
      <c r="AC17" s="1175">
        <f>AA17/Z17</f>
        <v>0.89862842571560864</v>
      </c>
      <c r="AD17" s="886">
        <f>SUM(AD9:AD15)</f>
        <v>3413732</v>
      </c>
      <c r="AG17" s="1486">
        <f t="shared" ref="AG17:AN17" si="8">SUM(AG9:AG15)</f>
        <v>3038521.56</v>
      </c>
      <c r="AH17" s="1486">
        <f t="shared" si="8"/>
        <v>-375210.43999999994</v>
      </c>
      <c r="AI17" s="1486">
        <f t="shared" si="8"/>
        <v>3226273</v>
      </c>
      <c r="AJ17" s="1486">
        <f t="shared" si="8"/>
        <v>3227329</v>
      </c>
      <c r="AK17" s="1486">
        <f t="shared" si="8"/>
        <v>3227329</v>
      </c>
      <c r="AL17" s="1486">
        <f t="shared" si="8"/>
        <v>3226273</v>
      </c>
      <c r="AM17" s="1486">
        <f t="shared" si="8"/>
        <v>3388180</v>
      </c>
      <c r="AN17" s="1486">
        <f t="shared" si="8"/>
        <v>3438838</v>
      </c>
      <c r="AO17" s="1622">
        <f>SUM(AO10:AO16)</f>
        <v>3585708</v>
      </c>
    </row>
    <row r="18" spans="1:41" ht="19.5" thickTop="1" x14ac:dyDescent="0.3">
      <c r="A18" s="232"/>
      <c r="B18" s="246"/>
      <c r="C18" s="63"/>
      <c r="D18" s="407"/>
      <c r="E18" s="407"/>
      <c r="F18" s="235"/>
      <c r="G18" s="408"/>
      <c r="H18" s="409"/>
      <c r="J18" s="407"/>
      <c r="K18" s="407"/>
      <c r="L18" s="407"/>
      <c r="M18" s="407"/>
      <c r="N18" s="407"/>
      <c r="O18" s="435"/>
      <c r="P18" s="436" t="e">
        <f>P17/L17</f>
        <v>#REF!</v>
      </c>
      <c r="X18" s="764"/>
    </row>
    <row r="19" spans="1:41" ht="19.5" thickBot="1" x14ac:dyDescent="0.35">
      <c r="A19" s="232"/>
      <c r="B19" s="246"/>
      <c r="C19" s="406"/>
      <c r="D19" s="407"/>
      <c r="E19" s="407"/>
      <c r="F19" s="235"/>
      <c r="G19" s="408"/>
      <c r="H19" s="409"/>
      <c r="J19" s="407" t="s">
        <v>666</v>
      </c>
      <c r="K19" s="407"/>
    </row>
    <row r="20" spans="1:41" ht="60.95" customHeight="1" thickBot="1" x14ac:dyDescent="0.4">
      <c r="A20" s="238" t="s">
        <v>214</v>
      </c>
      <c r="B20" s="606"/>
      <c r="C20" s="607" t="s">
        <v>760</v>
      </c>
      <c r="D20" s="608"/>
      <c r="E20" s="608"/>
      <c r="F20" s="608" t="s">
        <v>306</v>
      </c>
      <c r="G20" s="609"/>
      <c r="H20" s="610"/>
      <c r="I20" s="611">
        <v>7.0000000000000007E-2</v>
      </c>
      <c r="J20" s="611"/>
      <c r="K20" s="611" t="s">
        <v>669</v>
      </c>
      <c r="L20" s="438" t="s">
        <v>689</v>
      </c>
      <c r="M20" s="438" t="s">
        <v>690</v>
      </c>
      <c r="N20" s="192" t="s">
        <v>699</v>
      </c>
      <c r="O20" s="479" t="s">
        <v>700</v>
      </c>
      <c r="P20" s="558" t="s">
        <v>697</v>
      </c>
      <c r="Q20" s="340" t="s">
        <v>616</v>
      </c>
      <c r="R20" s="445" t="s">
        <v>709</v>
      </c>
      <c r="S20" s="699" t="s">
        <v>757</v>
      </c>
      <c r="T20" s="756" t="s">
        <v>779</v>
      </c>
      <c r="U20" s="888" t="s">
        <v>824</v>
      </c>
      <c r="V20" s="931" t="s">
        <v>829</v>
      </c>
      <c r="W20" s="814" t="s">
        <v>790</v>
      </c>
      <c r="X20" s="906" t="s">
        <v>798</v>
      </c>
      <c r="Y20" s="1154" t="s">
        <v>852</v>
      </c>
      <c r="Z20" s="1058" t="s">
        <v>857</v>
      </c>
      <c r="AA20" s="1051" t="s">
        <v>885</v>
      </c>
      <c r="AB20" s="1267" t="s">
        <v>798</v>
      </c>
      <c r="AC20" s="1268" t="s">
        <v>862</v>
      </c>
      <c r="AD20" s="1269" t="s">
        <v>961</v>
      </c>
      <c r="AE20" s="1278" t="s">
        <v>918</v>
      </c>
      <c r="AG20" s="1428" t="s">
        <v>981</v>
      </c>
      <c r="AH20" s="1441" t="s">
        <v>798</v>
      </c>
      <c r="AI20" s="1441" t="s">
        <v>972</v>
      </c>
      <c r="AJ20" s="1441" t="s">
        <v>963</v>
      </c>
      <c r="AK20" s="1441" t="s">
        <v>983</v>
      </c>
      <c r="AL20" s="1543" t="s">
        <v>943</v>
      </c>
      <c r="AM20" s="1551" t="s">
        <v>988</v>
      </c>
      <c r="AN20" s="1611" t="s">
        <v>1017</v>
      </c>
      <c r="AO20" s="1428" t="s">
        <v>1109</v>
      </c>
    </row>
    <row r="21" spans="1:41" ht="19.5" thickBot="1" x14ac:dyDescent="0.35">
      <c r="A21" s="237"/>
      <c r="B21" s="567" t="s">
        <v>292</v>
      </c>
      <c r="C21" s="568" t="s">
        <v>291</v>
      </c>
      <c r="D21" s="569" t="e">
        <f>'51100'!#REF!</f>
        <v>#REF!</v>
      </c>
      <c r="E21" s="570" t="e">
        <f>'51100'!#REF!</f>
        <v>#REF!</v>
      </c>
      <c r="F21" s="571" t="e">
        <f>E21-D21</f>
        <v>#REF!</v>
      </c>
      <c r="G21" s="572" t="e">
        <f>'51100'!#REF!</f>
        <v>#REF!</v>
      </c>
      <c r="H21" s="522" t="e">
        <f>G21/E21</f>
        <v>#REF!</v>
      </c>
      <c r="I21" s="573">
        <v>536736</v>
      </c>
      <c r="J21" s="574" t="e">
        <f>'51100'!#REF!</f>
        <v>#REF!</v>
      </c>
      <c r="K21" s="575" t="e">
        <f>'51100'!#REF!</f>
        <v>#REF!</v>
      </c>
      <c r="L21" s="576">
        <v>943676</v>
      </c>
      <c r="M21" s="576" t="e">
        <f>'51100'!#REF!</f>
        <v>#REF!</v>
      </c>
      <c r="N21" s="488">
        <f>[2]Sheet1!$DI$17</f>
        <v>0</v>
      </c>
      <c r="O21" s="522">
        <v>0.97465578228120653</v>
      </c>
      <c r="P21" s="488">
        <v>1159000</v>
      </c>
      <c r="Q21" s="448"/>
      <c r="R21" s="488" t="e">
        <f>'51100'!#REF!</f>
        <v>#REF!</v>
      </c>
      <c r="S21" s="488">
        <f>'51100'!D56</f>
        <v>813682</v>
      </c>
      <c r="T21" s="488">
        <v>813682</v>
      </c>
      <c r="U21" s="870">
        <f>'51100'!I56</f>
        <v>677056.16</v>
      </c>
      <c r="V21" s="577">
        <f>'51100'!G56</f>
        <v>624438</v>
      </c>
      <c r="W21" s="577">
        <f>V21</f>
        <v>624438</v>
      </c>
      <c r="X21" s="577">
        <f>U21-V21</f>
        <v>52618.160000000033</v>
      </c>
      <c r="Y21" s="1035">
        <f>'[1]GENERAL FUND SUMMARY'!$Y$21</f>
        <v>692409</v>
      </c>
      <c r="Z21" s="1170">
        <f>'51100'!L56</f>
        <v>687159.32000000007</v>
      </c>
      <c r="AA21" s="1052">
        <f>'51100'!M56</f>
        <v>535450.09000000008</v>
      </c>
      <c r="AB21" s="1270">
        <f>Z21-AA21</f>
        <v>151709.22999999998</v>
      </c>
      <c r="AC21" s="522">
        <f>AA21/Z21</f>
        <v>0.77922262627537386</v>
      </c>
      <c r="AD21" s="488">
        <f>'51100'!Q56</f>
        <v>693429</v>
      </c>
      <c r="AE21" s="1271"/>
      <c r="AG21" s="1487">
        <f>'51100'!R56</f>
        <v>601011.07000000007</v>
      </c>
      <c r="AH21" s="1488">
        <f>AD21-AG21</f>
        <v>92417.929999999935</v>
      </c>
      <c r="AI21" s="521">
        <f>'51100'!T56</f>
        <v>628676</v>
      </c>
      <c r="AJ21" s="1516">
        <f>'51100'!U56</f>
        <v>618004</v>
      </c>
      <c r="AK21" s="1516">
        <f>'51100'!V56</f>
        <v>608004</v>
      </c>
      <c r="AL21" s="1489">
        <f>'51100'!W56</f>
        <v>598004</v>
      </c>
      <c r="AM21" s="1606">
        <f>AL21</f>
        <v>598004</v>
      </c>
      <c r="AN21" s="248">
        <f>'51100'!X56</f>
        <v>583321.64</v>
      </c>
      <c r="AO21" s="763">
        <f>'51100'!AC56</f>
        <v>675821</v>
      </c>
    </row>
    <row r="22" spans="1:41" ht="16.5" hidden="1" thickBot="1" x14ac:dyDescent="0.3">
      <c r="A22" s="237"/>
      <c r="B22" s="578" t="s">
        <v>290</v>
      </c>
      <c r="C22" s="579" t="s">
        <v>289</v>
      </c>
      <c r="D22" s="580"/>
      <c r="E22" s="581"/>
      <c r="F22" s="582"/>
      <c r="G22" s="531"/>
      <c r="H22" s="527"/>
      <c r="I22" s="449"/>
      <c r="J22" s="449"/>
      <c r="K22" s="449"/>
      <c r="L22" s="451"/>
      <c r="M22" s="451"/>
      <c r="N22" s="451"/>
      <c r="O22" s="527"/>
      <c r="P22" s="449"/>
      <c r="Q22" s="449"/>
      <c r="R22" s="451"/>
      <c r="S22" s="449"/>
      <c r="T22" s="449"/>
      <c r="U22" s="872"/>
      <c r="V22" s="450"/>
      <c r="W22" s="449"/>
      <c r="X22" s="450"/>
      <c r="Y22" s="957"/>
      <c r="Z22" s="1120"/>
      <c r="AA22" s="1053"/>
      <c r="AB22" s="1272"/>
      <c r="AC22" s="527"/>
      <c r="AD22" s="451"/>
      <c r="AE22" s="1273"/>
      <c r="AG22" s="1490"/>
      <c r="AH22" s="1491"/>
      <c r="AI22" s="526"/>
      <c r="AJ22" s="1517"/>
      <c r="AK22" s="1517"/>
      <c r="AL22" s="955"/>
      <c r="AM22" s="955"/>
      <c r="AN22" s="248"/>
    </row>
    <row r="23" spans="1:41" ht="16.5" hidden="1" thickBot="1" x14ac:dyDescent="0.3">
      <c r="A23" s="237"/>
      <c r="B23" s="578" t="s">
        <v>288</v>
      </c>
      <c r="C23" s="579" t="s">
        <v>287</v>
      </c>
      <c r="D23" s="580"/>
      <c r="E23" s="581"/>
      <c r="F23" s="583"/>
      <c r="G23" s="531"/>
      <c r="H23" s="527"/>
      <c r="I23" s="449"/>
      <c r="J23" s="449"/>
      <c r="K23" s="449"/>
      <c r="L23" s="451"/>
      <c r="M23" s="451"/>
      <c r="N23" s="451"/>
      <c r="O23" s="527"/>
      <c r="P23" s="449"/>
      <c r="Q23" s="449"/>
      <c r="R23" s="451"/>
      <c r="S23" s="449"/>
      <c r="T23" s="449"/>
      <c r="U23" s="872"/>
      <c r="V23" s="450"/>
      <c r="W23" s="449"/>
      <c r="X23" s="450"/>
      <c r="Y23" s="957"/>
      <c r="Z23" s="1120"/>
      <c r="AA23" s="1053"/>
      <c r="AB23" s="1272"/>
      <c r="AC23" s="527"/>
      <c r="AD23" s="451"/>
      <c r="AE23" s="1273"/>
      <c r="AG23" s="1490"/>
      <c r="AH23" s="1491"/>
      <c r="AI23" s="526"/>
      <c r="AJ23" s="1517"/>
      <c r="AK23" s="1517"/>
      <c r="AL23" s="955"/>
      <c r="AM23" s="955"/>
      <c r="AN23" s="248"/>
    </row>
    <row r="24" spans="1:41" ht="16.5" hidden="1" thickBot="1" x14ac:dyDescent="0.3">
      <c r="A24" s="237"/>
      <c r="B24" s="578" t="s">
        <v>290</v>
      </c>
      <c r="C24" s="579" t="s">
        <v>446</v>
      </c>
      <c r="D24" s="580"/>
      <c r="E24" s="581">
        <f>[3]Sheet1!$CK$33</f>
        <v>0</v>
      </c>
      <c r="F24" s="583">
        <f>E24-D24</f>
        <v>0</v>
      </c>
      <c r="G24" s="584" t="s">
        <v>433</v>
      </c>
      <c r="H24" s="585"/>
      <c r="I24" s="449"/>
      <c r="J24" s="449"/>
      <c r="K24" s="449"/>
      <c r="L24" s="451"/>
      <c r="M24" s="451"/>
      <c r="N24" s="451"/>
      <c r="O24" s="527"/>
      <c r="P24" s="449"/>
      <c r="Q24" s="449"/>
      <c r="R24" s="451"/>
      <c r="S24" s="449"/>
      <c r="T24" s="449"/>
      <c r="U24" s="872"/>
      <c r="V24" s="450"/>
      <c r="W24" s="449"/>
      <c r="X24" s="450"/>
      <c r="Y24" s="957"/>
      <c r="Z24" s="1120"/>
      <c r="AA24" s="1053"/>
      <c r="AB24" s="1272"/>
      <c r="AC24" s="527"/>
      <c r="AD24" s="451"/>
      <c r="AE24" s="1273"/>
      <c r="AG24" s="1490"/>
      <c r="AH24" s="1491"/>
      <c r="AI24" s="526"/>
      <c r="AJ24" s="1517"/>
      <c r="AK24" s="1517"/>
      <c r="AL24" s="955"/>
      <c r="AM24" s="955"/>
      <c r="AN24" s="248"/>
    </row>
    <row r="25" spans="1:41" ht="16.5" hidden="1" thickBot="1" x14ac:dyDescent="0.3">
      <c r="A25" s="237"/>
      <c r="B25" s="578" t="s">
        <v>288</v>
      </c>
      <c r="C25" s="579" t="s">
        <v>445</v>
      </c>
      <c r="D25" s="580"/>
      <c r="E25" s="581">
        <f>[3]Sheet1!$CK$47</f>
        <v>0</v>
      </c>
      <c r="F25" s="583">
        <f>E25-D25</f>
        <v>0</v>
      </c>
      <c r="G25" s="584" t="s">
        <v>433</v>
      </c>
      <c r="H25" s="585"/>
      <c r="I25" s="449"/>
      <c r="J25" s="449"/>
      <c r="K25" s="449"/>
      <c r="L25" s="451"/>
      <c r="M25" s="451"/>
      <c r="N25" s="451"/>
      <c r="O25" s="527"/>
      <c r="P25" s="449"/>
      <c r="Q25" s="449"/>
      <c r="R25" s="451"/>
      <c r="S25" s="449"/>
      <c r="T25" s="449"/>
      <c r="U25" s="872"/>
      <c r="V25" s="450"/>
      <c r="W25" s="449"/>
      <c r="X25" s="450"/>
      <c r="Y25" s="957"/>
      <c r="Z25" s="1120"/>
      <c r="AA25" s="1053"/>
      <c r="AB25" s="1272"/>
      <c r="AC25" s="527"/>
      <c r="AD25" s="451"/>
      <c r="AE25" s="1273"/>
      <c r="AG25" s="1490"/>
      <c r="AH25" s="1491"/>
      <c r="AI25" s="526"/>
      <c r="AJ25" s="1517"/>
      <c r="AK25" s="1517"/>
      <c r="AL25" s="955"/>
      <c r="AM25" s="955"/>
      <c r="AN25" s="248"/>
    </row>
    <row r="26" spans="1:41" ht="16.5" thickBot="1" x14ac:dyDescent="0.3">
      <c r="A26" s="237"/>
      <c r="B26" s="586">
        <v>51101</v>
      </c>
      <c r="C26" s="579" t="s">
        <v>577</v>
      </c>
      <c r="D26" s="580"/>
      <c r="E26" s="581"/>
      <c r="F26" s="583"/>
      <c r="G26" s="584">
        <f>[4]Sheet1!$CP$34</f>
        <v>0</v>
      </c>
      <c r="H26" s="527"/>
      <c r="I26" s="449"/>
      <c r="J26" s="450">
        <f>[5]Sheet1!$CX$32</f>
        <v>0</v>
      </c>
      <c r="K26" s="449"/>
      <c r="L26" s="451"/>
      <c r="M26" s="451">
        <f>[5]Sheet1!$DD$32</f>
        <v>27223.319999999996</v>
      </c>
      <c r="N26" s="451">
        <f>[2]Sheet1!$DI$32</f>
        <v>62201.81</v>
      </c>
      <c r="O26" s="527">
        <v>1</v>
      </c>
      <c r="P26" s="451">
        <v>45288.665454545458</v>
      </c>
      <c r="Q26" s="449"/>
      <c r="R26" s="451">
        <v>75289</v>
      </c>
      <c r="S26" s="451">
        <v>45000</v>
      </c>
      <c r="T26" s="451">
        <v>45000</v>
      </c>
      <c r="U26" s="872">
        <f>'51101 COURTHSE EXP'!F31</f>
        <v>72845.36</v>
      </c>
      <c r="V26" s="450">
        <f>'51101 COURTHSE EXP'!E31</f>
        <v>63000</v>
      </c>
      <c r="W26" s="450">
        <f>V26</f>
        <v>63000</v>
      </c>
      <c r="X26" s="450">
        <f>U26-V26</f>
        <v>9845.36</v>
      </c>
      <c r="Y26" s="957">
        <f>'[1]GENERAL FUND SUMMARY'!$Y$26</f>
        <v>70000</v>
      </c>
      <c r="Z26" s="957">
        <f>Y26</f>
        <v>70000</v>
      </c>
      <c r="AA26" s="1053">
        <f>'51101 COURTHSE EXP'!I31</f>
        <v>77905.849999999991</v>
      </c>
      <c r="AB26" s="1274">
        <f t="shared" ref="AB26:AB57" si="9">Z26-AA26</f>
        <v>-7905.8499999999913</v>
      </c>
      <c r="AC26" s="527">
        <f t="shared" ref="AC26:AC36" si="10">AA26/Z26</f>
        <v>1.1129407142857142</v>
      </c>
      <c r="AD26" s="451">
        <f>'51101 COURTHSE EXP'!L31</f>
        <v>60000</v>
      </c>
      <c r="AE26" s="1273"/>
      <c r="AG26" s="1490">
        <f>'51101 COURTHSE EXP'!M31</f>
        <v>89948.76</v>
      </c>
      <c r="AH26" s="1488">
        <f t="shared" ref="AH26:AH74" si="11">AD26-AG26</f>
        <v>-29948.759999999995</v>
      </c>
      <c r="AI26" s="526">
        <f>'51101 COURTHSE EXP'!O31</f>
        <v>60000</v>
      </c>
      <c r="AJ26" s="1517">
        <f>'51101 COURTHSE EXP'!O31</f>
        <v>60000</v>
      </c>
      <c r="AK26" s="1517">
        <f>'51101 COURTHSE EXP'!P31</f>
        <v>60000</v>
      </c>
      <c r="AL26" s="955">
        <f>'51101 COURTHSE EXP'!Q31</f>
        <v>60000</v>
      </c>
      <c r="AM26" s="1489">
        <f>AL26</f>
        <v>60000</v>
      </c>
      <c r="AN26" s="248" t="e">
        <f>'51101 COURTHSE EXP'!#REF!</f>
        <v>#REF!</v>
      </c>
      <c r="AO26" s="763">
        <f>'51101 COURTHSE EXP'!U6</f>
        <v>62661</v>
      </c>
    </row>
    <row r="27" spans="1:41" ht="16.5" thickBot="1" x14ac:dyDescent="0.3">
      <c r="A27" s="237"/>
      <c r="B27" s="586">
        <v>51102</v>
      </c>
      <c r="C27" s="579" t="s">
        <v>578</v>
      </c>
      <c r="D27" s="580"/>
      <c r="E27" s="581"/>
      <c r="F27" s="583"/>
      <c r="G27" s="584">
        <f>[4]Sheet1!$CP$48</f>
        <v>0</v>
      </c>
      <c r="H27" s="527"/>
      <c r="I27" s="449"/>
      <c r="J27" s="450" t="e">
        <f>[5]Sheet1!$CX$46</f>
        <v>#REF!</v>
      </c>
      <c r="K27" s="449"/>
      <c r="L27" s="451"/>
      <c r="M27" s="451">
        <f>[5]Sheet1!$DD$46</f>
        <v>0</v>
      </c>
      <c r="N27" s="451">
        <f>[2]Sheet1!$DI$46</f>
        <v>27463.910000000003</v>
      </c>
      <c r="O27" s="527">
        <v>1</v>
      </c>
      <c r="P27" s="451">
        <v>23965.123636363638</v>
      </c>
      <c r="Q27" s="449"/>
      <c r="R27" s="451">
        <v>23966</v>
      </c>
      <c r="S27" s="451">
        <v>17500</v>
      </c>
      <c r="T27" s="451">
        <v>17500</v>
      </c>
      <c r="U27" s="872">
        <f>'51102 CRT HOUSE ANNEX II'!F23</f>
        <v>33821.089999999997</v>
      </c>
      <c r="V27" s="450">
        <f>'51102 CRT HOUSE ANNEX II'!E23</f>
        <v>26000</v>
      </c>
      <c r="W27" s="450">
        <f>V27</f>
        <v>26000</v>
      </c>
      <c r="X27" s="450">
        <f t="shared" ref="X27:X74" si="12">U27-V27</f>
        <v>7821.0899999999965</v>
      </c>
      <c r="Y27" s="957">
        <f>'[1]GENERAL FUND SUMMARY'!$Y$27</f>
        <v>34000</v>
      </c>
      <c r="Z27" s="957">
        <f t="shared" ref="Z27:Z32" si="13">Y27</f>
        <v>34000</v>
      </c>
      <c r="AA27" s="1053">
        <f>'51102 CRT HOUSE ANNEX II'!I23</f>
        <v>31187.139999999996</v>
      </c>
      <c r="AB27" s="1274">
        <f t="shared" si="9"/>
        <v>2812.8600000000042</v>
      </c>
      <c r="AC27" s="527">
        <f t="shared" si="10"/>
        <v>0.91726882352941164</v>
      </c>
      <c r="AD27" s="451">
        <f>'51102 CRT HOUSE ANNEX II'!L23</f>
        <v>10000</v>
      </c>
      <c r="AE27" s="1273"/>
      <c r="AG27" s="1490">
        <f>'51102 CRT HOUSE ANNEX II'!M23</f>
        <v>43423.45</v>
      </c>
      <c r="AH27" s="1488">
        <f t="shared" si="11"/>
        <v>-33423.449999999997</v>
      </c>
      <c r="AI27" s="526">
        <f>'51102 CRT HOUSE ANNEX II'!O23</f>
        <v>10000</v>
      </c>
      <c r="AJ27" s="1517">
        <f>'51102 CRT HOUSE ANNEX II'!O23</f>
        <v>10000</v>
      </c>
      <c r="AK27" s="1517">
        <f>AJ27</f>
        <v>10000</v>
      </c>
      <c r="AL27" s="955">
        <f>'51102 CRT HOUSE ANNEX II'!Q23</f>
        <v>10000</v>
      </c>
      <c r="AM27" s="1489">
        <f t="shared" ref="AM27:AM74" si="14">AL27</f>
        <v>10000</v>
      </c>
      <c r="AN27" s="248">
        <f>'51102 CRT HOUSE ANNEX II'!R23</f>
        <v>37120.32</v>
      </c>
      <c r="AO27" s="763">
        <f>'51102 CRT HOUSE ANNEX II'!V6</f>
        <v>22250</v>
      </c>
    </row>
    <row r="28" spans="1:41" ht="19.5" thickBot="1" x14ac:dyDescent="0.35">
      <c r="A28" s="237"/>
      <c r="B28" s="578" t="s">
        <v>447</v>
      </c>
      <c r="C28" s="579" t="s">
        <v>281</v>
      </c>
      <c r="D28" s="580" t="e">
        <f>'51210'!#REF!</f>
        <v>#REF!</v>
      </c>
      <c r="E28" s="581" t="e">
        <f>'51210'!#REF!</f>
        <v>#REF!</v>
      </c>
      <c r="F28" s="583" t="e">
        <f>E28-D28</f>
        <v>#REF!</v>
      </c>
      <c r="G28" s="531" t="e">
        <f>'51210'!#REF!</f>
        <v>#REF!</v>
      </c>
      <c r="H28" s="527" t="e">
        <f t="shared" ref="H28:H74" si="15">G28/E28</f>
        <v>#REF!</v>
      </c>
      <c r="I28" s="587">
        <v>2713</v>
      </c>
      <c r="J28" s="588" t="e">
        <f>'51210'!#REF!</f>
        <v>#REF!</v>
      </c>
      <c r="K28" s="587">
        <v>2713</v>
      </c>
      <c r="L28" s="587">
        <v>2713</v>
      </c>
      <c r="M28" s="587" t="e">
        <f>'51210'!#REF!</f>
        <v>#REF!</v>
      </c>
      <c r="N28" s="451">
        <f>[2]Sheet1!$DI$60</f>
        <v>2716.777</v>
      </c>
      <c r="O28" s="527">
        <v>0.88213416881680795</v>
      </c>
      <c r="P28" s="451">
        <v>2713</v>
      </c>
      <c r="Q28" s="449"/>
      <c r="R28" s="451">
        <f>'51210'!D7</f>
        <v>2505.2599999999998</v>
      </c>
      <c r="S28" s="451">
        <v>2713</v>
      </c>
      <c r="T28" s="451">
        <v>2713</v>
      </c>
      <c r="U28" s="872">
        <f>'51210'!D7</f>
        <v>2505.2599999999998</v>
      </c>
      <c r="V28" s="450">
        <f>'51210'!C7</f>
        <v>2714</v>
      </c>
      <c r="W28" s="450">
        <f>V28</f>
        <v>2714</v>
      </c>
      <c r="X28" s="450">
        <f t="shared" si="12"/>
        <v>-208.74000000000024</v>
      </c>
      <c r="Y28" s="957">
        <f>'[1]GENERAL FUND SUMMARY'!$Y$28</f>
        <v>2714</v>
      </c>
      <c r="Z28" s="957">
        <f t="shared" si="13"/>
        <v>2714</v>
      </c>
      <c r="AA28" s="1053">
        <f>'51210'!G7</f>
        <v>2442.4380000000001</v>
      </c>
      <c r="AB28" s="1274">
        <f t="shared" si="9"/>
        <v>271.5619999999999</v>
      </c>
      <c r="AC28" s="527">
        <f t="shared" si="10"/>
        <v>0.8999403095062638</v>
      </c>
      <c r="AD28" s="451">
        <f>'51210'!J7</f>
        <v>2714</v>
      </c>
      <c r="AE28" s="1273"/>
      <c r="AG28" s="1490">
        <f>'51210'!K7</f>
        <v>2331.09</v>
      </c>
      <c r="AH28" s="1488">
        <f t="shared" si="11"/>
        <v>382.90999999999985</v>
      </c>
      <c r="AI28" s="526">
        <f>'51210'!M7</f>
        <v>2714</v>
      </c>
      <c r="AJ28" s="1517">
        <f>'51210'!M7</f>
        <v>2714</v>
      </c>
      <c r="AK28" s="1517">
        <f t="shared" ref="AK28:AK74" si="16">AJ28</f>
        <v>2714</v>
      </c>
      <c r="AL28" s="955">
        <f>'51210'!N7</f>
        <v>2714</v>
      </c>
      <c r="AM28" s="1489">
        <f t="shared" si="14"/>
        <v>2714</v>
      </c>
      <c r="AN28" s="248">
        <f>'51210'!O7</f>
        <v>2714</v>
      </c>
      <c r="AO28" s="763">
        <f>'51210'!S7</f>
        <v>2714</v>
      </c>
    </row>
    <row r="29" spans="1:41" ht="19.5" thickBot="1" x14ac:dyDescent="0.35">
      <c r="A29" s="237"/>
      <c r="B29" s="578" t="s">
        <v>448</v>
      </c>
      <c r="C29" s="579" t="s">
        <v>1111</v>
      </c>
      <c r="D29" s="580" t="e">
        <f>'51212'!#REF!</f>
        <v>#REF!</v>
      </c>
      <c r="E29" s="581" t="e">
        <f>'51212'!#REF!</f>
        <v>#REF!</v>
      </c>
      <c r="F29" s="583" t="e">
        <f>E29-D29</f>
        <v>#REF!</v>
      </c>
      <c r="G29" s="531" t="e">
        <f>'51212'!#REF!</f>
        <v>#REF!</v>
      </c>
      <c r="H29" s="527" t="e">
        <f t="shared" si="15"/>
        <v>#REF!</v>
      </c>
      <c r="I29" s="587">
        <v>4755</v>
      </c>
      <c r="J29" s="588" t="e">
        <f>'51212'!#REF!</f>
        <v>#REF!</v>
      </c>
      <c r="K29" s="587" t="e">
        <f>'51212'!#REF!</f>
        <v>#REF!</v>
      </c>
      <c r="L29" s="587">
        <v>6255</v>
      </c>
      <c r="M29" s="587" t="e">
        <f>'51212'!#REF!</f>
        <v>#REF!</v>
      </c>
      <c r="N29" s="451">
        <f>[2]Sheet1!$DI$74</f>
        <v>764.73</v>
      </c>
      <c r="O29" s="527">
        <v>0.11648441247002399</v>
      </c>
      <c r="P29" s="451">
        <v>6255</v>
      </c>
      <c r="Q29" s="449"/>
      <c r="R29" s="451" t="e">
        <f>'51212'!#REF!</f>
        <v>#REF!</v>
      </c>
      <c r="S29" s="451">
        <v>1200</v>
      </c>
      <c r="T29" s="451">
        <v>1200</v>
      </c>
      <c r="U29" s="872">
        <f>'51212'!E15</f>
        <v>372.11</v>
      </c>
      <c r="V29" s="450">
        <f>'51212'!D15</f>
        <v>373</v>
      </c>
      <c r="W29" s="450">
        <f>V29</f>
        <v>373</v>
      </c>
      <c r="X29" s="450">
        <f t="shared" si="12"/>
        <v>-0.88999999999998636</v>
      </c>
      <c r="Y29" s="957">
        <f>'[1]GENERAL FUND SUMMARY'!$Y$29</f>
        <v>373</v>
      </c>
      <c r="Z29" s="957">
        <f t="shared" si="13"/>
        <v>373</v>
      </c>
      <c r="AA29" s="1053">
        <f>'51212'!H15</f>
        <v>633.04999999999995</v>
      </c>
      <c r="AB29" s="1274">
        <f t="shared" si="9"/>
        <v>-260.04999999999995</v>
      </c>
      <c r="AC29" s="527">
        <f t="shared" si="10"/>
        <v>1.6971849865951742</v>
      </c>
      <c r="AD29" s="451">
        <f>'51212'!K15</f>
        <v>373</v>
      </c>
      <c r="AE29" s="1273"/>
      <c r="AG29" s="1490">
        <f>'51212'!L15</f>
        <v>701.05</v>
      </c>
      <c r="AH29" s="1488">
        <f t="shared" si="11"/>
        <v>-328.04999999999995</v>
      </c>
      <c r="AI29" s="526">
        <f>'51212'!N15</f>
        <v>600</v>
      </c>
      <c r="AJ29" s="1517">
        <f>'51212'!N15</f>
        <v>600</v>
      </c>
      <c r="AK29" s="1517">
        <f t="shared" si="16"/>
        <v>600</v>
      </c>
      <c r="AL29" s="955">
        <f>'51212'!O15</f>
        <v>600</v>
      </c>
      <c r="AM29" s="1489">
        <f t="shared" si="14"/>
        <v>600</v>
      </c>
      <c r="AN29" s="248">
        <f>'51212'!P15</f>
        <v>449.16</v>
      </c>
      <c r="AO29" s="763">
        <v>0</v>
      </c>
    </row>
    <row r="30" spans="1:41" ht="19.5" thickBot="1" x14ac:dyDescent="0.35">
      <c r="A30" s="237"/>
      <c r="B30" s="578" t="s">
        <v>286</v>
      </c>
      <c r="C30" s="579" t="s">
        <v>1112</v>
      </c>
      <c r="D30" s="580" t="e">
        <f>'51220'!#REF!</f>
        <v>#REF!</v>
      </c>
      <c r="E30" s="581" t="e">
        <f>'51220'!#REF!</f>
        <v>#REF!</v>
      </c>
      <c r="F30" s="583" t="e">
        <f>E30-D30</f>
        <v>#REF!</v>
      </c>
      <c r="G30" s="531" t="e">
        <f>'51220'!#REF!</f>
        <v>#REF!</v>
      </c>
      <c r="H30" s="527" t="e">
        <f t="shared" si="15"/>
        <v>#REF!</v>
      </c>
      <c r="I30" s="587">
        <v>20446</v>
      </c>
      <c r="J30" s="588" t="e">
        <f>'51220'!#REF!</f>
        <v>#REF!</v>
      </c>
      <c r="K30" s="587" t="e">
        <f>'51220'!#REF!</f>
        <v>#REF!</v>
      </c>
      <c r="L30" s="587">
        <v>40657</v>
      </c>
      <c r="M30" s="587" t="e">
        <f>'51220'!#REF!</f>
        <v>#REF!</v>
      </c>
      <c r="N30" s="451">
        <f>[2]Sheet1!$DI$88</f>
        <v>29386.420000000002</v>
      </c>
      <c r="O30" s="527">
        <v>0.65617581228324773</v>
      </c>
      <c r="P30" s="451">
        <f>L30</f>
        <v>40657</v>
      </c>
      <c r="Q30" s="449"/>
      <c r="R30" s="451" t="e">
        <f>'51220'!#REF!</f>
        <v>#REF!</v>
      </c>
      <c r="S30" s="451">
        <v>700</v>
      </c>
      <c r="T30" s="451">
        <v>700</v>
      </c>
      <c r="U30" s="872">
        <f>'51220'!D18</f>
        <v>730.05</v>
      </c>
      <c r="V30" s="450">
        <f>'51220'!C18</f>
        <v>596</v>
      </c>
      <c r="W30" s="450">
        <f t="shared" ref="W30:W39" si="17">V30</f>
        <v>596</v>
      </c>
      <c r="X30" s="450">
        <f t="shared" si="12"/>
        <v>134.04999999999995</v>
      </c>
      <c r="Y30" s="957">
        <f>'[1]GENERAL FUND SUMMARY'!$Y$30</f>
        <v>740</v>
      </c>
      <c r="Z30" s="957">
        <f t="shared" si="13"/>
        <v>740</v>
      </c>
      <c r="AA30" s="1053">
        <f>'51220'!G18</f>
        <v>684.05000000000007</v>
      </c>
      <c r="AB30" s="1274">
        <f t="shared" si="9"/>
        <v>55.949999999999932</v>
      </c>
      <c r="AC30" s="527">
        <f t="shared" si="10"/>
        <v>0.92439189189189197</v>
      </c>
      <c r="AD30" s="451">
        <f>'51220'!J18</f>
        <v>740</v>
      </c>
      <c r="AE30" s="1273"/>
      <c r="AG30" s="1490">
        <f>'51220'!K18</f>
        <v>621.98</v>
      </c>
      <c r="AH30" s="1488">
        <f t="shared" si="11"/>
        <v>118.01999999999998</v>
      </c>
      <c r="AI30" s="526">
        <f>'51220'!M18</f>
        <v>740</v>
      </c>
      <c r="AJ30" s="1517">
        <f>'51220'!M18</f>
        <v>740</v>
      </c>
      <c r="AK30" s="1517">
        <f t="shared" si="16"/>
        <v>740</v>
      </c>
      <c r="AL30" s="955">
        <f>'51220'!N18</f>
        <v>740</v>
      </c>
      <c r="AM30" s="1489">
        <f t="shared" si="14"/>
        <v>740</v>
      </c>
      <c r="AN30" s="248">
        <f>'51220'!O18</f>
        <v>673.8</v>
      </c>
      <c r="AO30" s="763">
        <v>0</v>
      </c>
    </row>
    <row r="31" spans="1:41" ht="19.5" hidden="1" thickBot="1" x14ac:dyDescent="0.35">
      <c r="A31" s="237"/>
      <c r="B31" s="578" t="s">
        <v>285</v>
      </c>
      <c r="C31" s="579" t="s">
        <v>284</v>
      </c>
      <c r="D31" s="580"/>
      <c r="E31" s="581"/>
      <c r="F31" s="583">
        <f t="shared" ref="F31:F74" si="18">E31-D31</f>
        <v>0</v>
      </c>
      <c r="G31" s="531"/>
      <c r="H31" s="527" t="e">
        <f t="shared" si="15"/>
        <v>#DIV/0!</v>
      </c>
      <c r="I31" s="587"/>
      <c r="J31" s="580"/>
      <c r="K31" s="587"/>
      <c r="L31" s="587"/>
      <c r="M31" s="587"/>
      <c r="N31" s="451"/>
      <c r="O31" s="527" t="e">
        <v>#DIV/0!</v>
      </c>
      <c r="P31" s="451">
        <v>0</v>
      </c>
      <c r="Q31" s="449"/>
      <c r="R31" s="451"/>
      <c r="S31" s="451">
        <v>0</v>
      </c>
      <c r="T31" s="451">
        <v>0</v>
      </c>
      <c r="U31" s="872"/>
      <c r="V31" s="450"/>
      <c r="W31" s="450">
        <f t="shared" si="17"/>
        <v>0</v>
      </c>
      <c r="X31" s="450">
        <f t="shared" si="12"/>
        <v>0</v>
      </c>
      <c r="Y31" s="957"/>
      <c r="Z31" s="957">
        <f t="shared" si="13"/>
        <v>0</v>
      </c>
      <c r="AA31" s="1053"/>
      <c r="AB31" s="1274">
        <f t="shared" si="9"/>
        <v>0</v>
      </c>
      <c r="AC31" s="527" t="e">
        <f t="shared" si="10"/>
        <v>#DIV/0!</v>
      </c>
      <c r="AD31" s="451"/>
      <c r="AE31" s="1273"/>
      <c r="AG31" s="1490"/>
      <c r="AH31" s="1488">
        <f t="shared" si="11"/>
        <v>0</v>
      </c>
      <c r="AI31" s="526"/>
      <c r="AJ31" s="1517"/>
      <c r="AK31" s="1517">
        <f t="shared" si="16"/>
        <v>0</v>
      </c>
      <c r="AL31" s="955"/>
      <c r="AM31" s="1489">
        <f t="shared" si="14"/>
        <v>0</v>
      </c>
      <c r="AN31" s="248"/>
    </row>
    <row r="32" spans="1:41" ht="19.5" thickBot="1" x14ac:dyDescent="0.35">
      <c r="A32" s="237"/>
      <c r="B32" s="578" t="s">
        <v>283</v>
      </c>
      <c r="C32" s="579" t="s">
        <v>1113</v>
      </c>
      <c r="D32" s="580" t="e">
        <f>'51260'!#REF!</f>
        <v>#REF!</v>
      </c>
      <c r="E32" s="581" t="e">
        <f>'51260'!#REF!</f>
        <v>#REF!</v>
      </c>
      <c r="F32" s="583" t="e">
        <f t="shared" si="18"/>
        <v>#REF!</v>
      </c>
      <c r="G32" s="531" t="e">
        <f>'51260'!#REF!</f>
        <v>#REF!</v>
      </c>
      <c r="H32" s="527" t="e">
        <f t="shared" si="15"/>
        <v>#REF!</v>
      </c>
      <c r="I32" s="587">
        <v>11969</v>
      </c>
      <c r="J32" s="580" t="e">
        <f>'51260'!#REF!</f>
        <v>#REF!</v>
      </c>
      <c r="K32" s="587" t="e">
        <f>'51260'!#REF!</f>
        <v>#REF!</v>
      </c>
      <c r="L32" s="587">
        <v>12000</v>
      </c>
      <c r="M32" s="587" t="e">
        <f>'51260'!#REF!</f>
        <v>#REF!</v>
      </c>
      <c r="N32" s="451">
        <f>[2]Sheet1!$DI$103</f>
        <v>3432.06</v>
      </c>
      <c r="O32" s="527">
        <v>0.27029333333333333</v>
      </c>
      <c r="P32" s="451">
        <v>12000</v>
      </c>
      <c r="Q32" s="449"/>
      <c r="R32" s="451" t="e">
        <f>'51260'!#REF!</f>
        <v>#REF!</v>
      </c>
      <c r="S32" s="451">
        <v>700</v>
      </c>
      <c r="T32" s="451">
        <v>700</v>
      </c>
      <c r="U32" s="872">
        <f>'51260'!E12</f>
        <v>380.48</v>
      </c>
      <c r="V32" s="450">
        <f>'51260'!D12</f>
        <v>526</v>
      </c>
      <c r="W32" s="450">
        <f t="shared" si="17"/>
        <v>526</v>
      </c>
      <c r="X32" s="450">
        <f t="shared" si="12"/>
        <v>-145.51999999999998</v>
      </c>
      <c r="Y32" s="957">
        <f>'[1]GENERAL FUND SUMMARY'!$Y$32</f>
        <v>420</v>
      </c>
      <c r="Z32" s="957">
        <f t="shared" si="13"/>
        <v>420</v>
      </c>
      <c r="AA32" s="1053">
        <f>'51260'!H12</f>
        <v>367.95000000000005</v>
      </c>
      <c r="AB32" s="1274">
        <f t="shared" si="9"/>
        <v>52.049999999999955</v>
      </c>
      <c r="AC32" s="527">
        <f t="shared" si="10"/>
        <v>0.87607142857142872</v>
      </c>
      <c r="AD32" s="451">
        <f>'51260'!K12</f>
        <v>420</v>
      </c>
      <c r="AE32" s="1273"/>
      <c r="AG32" s="1274">
        <f>'51260'!L12</f>
        <v>480.21</v>
      </c>
      <c r="AH32" s="1488">
        <f t="shared" si="11"/>
        <v>-60.20999999999998</v>
      </c>
      <c r="AI32" s="526">
        <f>'51260'!N12</f>
        <v>420</v>
      </c>
      <c r="AJ32" s="1517">
        <f>'51260'!N12</f>
        <v>420</v>
      </c>
      <c r="AK32" s="1517">
        <f t="shared" si="16"/>
        <v>420</v>
      </c>
      <c r="AL32" s="955">
        <f>'51260'!O12</f>
        <v>420</v>
      </c>
      <c r="AM32" s="1489">
        <f t="shared" si="14"/>
        <v>420</v>
      </c>
      <c r="AN32" s="248">
        <f>'51260'!P12</f>
        <v>598.91999999999996</v>
      </c>
      <c r="AO32" s="763">
        <v>0</v>
      </c>
    </row>
    <row r="33" spans="1:41" ht="16.5" hidden="1" thickBot="1" x14ac:dyDescent="0.3">
      <c r="A33" s="237"/>
      <c r="B33" s="578" t="s">
        <v>282</v>
      </c>
      <c r="C33" s="579" t="s">
        <v>281</v>
      </c>
      <c r="D33" s="580"/>
      <c r="E33" s="581"/>
      <c r="F33" s="583">
        <f t="shared" si="18"/>
        <v>0</v>
      </c>
      <c r="G33" s="531"/>
      <c r="H33" s="527" t="e">
        <f t="shared" si="15"/>
        <v>#DIV/0!</v>
      </c>
      <c r="I33" s="449"/>
      <c r="J33" s="449"/>
      <c r="K33" s="449"/>
      <c r="L33" s="451"/>
      <c r="M33" s="451"/>
      <c r="N33" s="451"/>
      <c r="O33" s="527" t="e">
        <v>#DIV/0!</v>
      </c>
      <c r="P33" s="451">
        <v>0</v>
      </c>
      <c r="Q33" s="449"/>
      <c r="R33" s="451"/>
      <c r="S33" s="451">
        <v>0</v>
      </c>
      <c r="T33" s="451">
        <v>0</v>
      </c>
      <c r="U33" s="872"/>
      <c r="V33" s="450"/>
      <c r="W33" s="450">
        <f t="shared" si="17"/>
        <v>0</v>
      </c>
      <c r="X33" s="450">
        <f t="shared" si="12"/>
        <v>0</v>
      </c>
      <c r="Y33" s="957"/>
      <c r="Z33" s="1120"/>
      <c r="AA33" s="1053"/>
      <c r="AB33" s="1274">
        <f t="shared" si="9"/>
        <v>0</v>
      </c>
      <c r="AC33" s="527" t="e">
        <f t="shared" si="10"/>
        <v>#DIV/0!</v>
      </c>
      <c r="AD33" s="451"/>
      <c r="AE33" s="1273"/>
      <c r="AG33" s="1490"/>
      <c r="AH33" s="1488">
        <f t="shared" si="11"/>
        <v>0</v>
      </c>
      <c r="AI33" s="526"/>
      <c r="AJ33" s="1517"/>
      <c r="AK33" s="1517">
        <f t="shared" si="16"/>
        <v>0</v>
      </c>
      <c r="AL33" s="955"/>
      <c r="AM33" s="1489">
        <f t="shared" si="14"/>
        <v>0</v>
      </c>
      <c r="AN33" s="248"/>
    </row>
    <row r="34" spans="1:41" ht="19.5" thickBot="1" x14ac:dyDescent="0.35">
      <c r="A34" s="237"/>
      <c r="B34" s="578" t="s">
        <v>209</v>
      </c>
      <c r="C34" s="579" t="s">
        <v>280</v>
      </c>
      <c r="D34" s="580" t="e">
        <f>'51300'!#REF!</f>
        <v>#REF!</v>
      </c>
      <c r="E34" s="581">
        <f>'51300'!F37</f>
        <v>185240.43</v>
      </c>
      <c r="F34" s="583" t="e">
        <f t="shared" si="18"/>
        <v>#REF!</v>
      </c>
      <c r="G34" s="531" t="e">
        <f>'51300'!#REF!</f>
        <v>#REF!</v>
      </c>
      <c r="H34" s="527" t="e">
        <f t="shared" si="15"/>
        <v>#REF!</v>
      </c>
      <c r="I34" s="589">
        <v>193868</v>
      </c>
      <c r="J34" s="590">
        <f>'51300'!G37</f>
        <v>10342.430000000008</v>
      </c>
      <c r="K34" s="591" t="e">
        <f>'51300'!#REF!</f>
        <v>#REF!</v>
      </c>
      <c r="L34" s="592">
        <v>230344</v>
      </c>
      <c r="M34" s="592">
        <f>'51300'!G37</f>
        <v>10342.430000000008</v>
      </c>
      <c r="N34" s="451">
        <f>[2]Sheet1!$DI$118</f>
        <v>202691.78899999999</v>
      </c>
      <c r="O34" s="527">
        <v>0.79097241517035388</v>
      </c>
      <c r="P34" s="451">
        <v>198759</v>
      </c>
      <c r="Q34" s="449"/>
      <c r="R34" s="451" t="e">
        <f>'51300'!#REF!</f>
        <v>#REF!</v>
      </c>
      <c r="S34" s="451">
        <v>209067</v>
      </c>
      <c r="T34" s="451">
        <v>209067</v>
      </c>
      <c r="U34" s="872">
        <f>'51300'!F37</f>
        <v>185240.43</v>
      </c>
      <c r="V34" s="450">
        <f>'51300'!E37</f>
        <v>174898</v>
      </c>
      <c r="W34" s="450">
        <f t="shared" si="17"/>
        <v>174898</v>
      </c>
      <c r="X34" s="450">
        <f t="shared" si="12"/>
        <v>10342.429999999993</v>
      </c>
      <c r="Y34" s="957">
        <f>'[1]GENERAL FUND SUMMARY'!$Y$34</f>
        <v>192007</v>
      </c>
      <c r="Z34" s="1171">
        <f>'51300'!I37</f>
        <v>194542.11</v>
      </c>
      <c r="AA34" s="1053">
        <f>'51300'!J37</f>
        <v>166227.76000000004</v>
      </c>
      <c r="AB34" s="1274">
        <f t="shared" si="9"/>
        <v>28314.349999999948</v>
      </c>
      <c r="AC34" s="527">
        <f t="shared" si="10"/>
        <v>0.85445644647320851</v>
      </c>
      <c r="AD34" s="451">
        <f>'51300'!N37</f>
        <v>192273</v>
      </c>
      <c r="AE34" s="1273"/>
      <c r="AG34" s="1490">
        <f>'51300'!O37</f>
        <v>186877.84999999998</v>
      </c>
      <c r="AH34" s="1488">
        <f t="shared" si="11"/>
        <v>5395.1500000000233</v>
      </c>
      <c r="AI34" s="526">
        <f>'51300'!Q37</f>
        <v>205002</v>
      </c>
      <c r="AJ34" s="1517">
        <f>'51300'!R37</f>
        <v>196902</v>
      </c>
      <c r="AK34" s="1517">
        <f t="shared" si="16"/>
        <v>196902</v>
      </c>
      <c r="AL34" s="955">
        <f>'51300'!S37</f>
        <v>205002</v>
      </c>
      <c r="AM34" s="1489">
        <f t="shared" si="14"/>
        <v>205002</v>
      </c>
      <c r="AN34" s="248">
        <f>'51300'!T37</f>
        <v>193617.62999999995</v>
      </c>
      <c r="AO34" s="763">
        <f>'51300'!X37</f>
        <v>187805</v>
      </c>
    </row>
    <row r="35" spans="1:41" ht="19.5" hidden="1" thickBot="1" x14ac:dyDescent="0.35">
      <c r="A35" s="237"/>
      <c r="B35" s="578" t="s">
        <v>210</v>
      </c>
      <c r="C35" s="579" t="s">
        <v>279</v>
      </c>
      <c r="D35" s="580"/>
      <c r="E35" s="581"/>
      <c r="F35" s="583">
        <f t="shared" si="18"/>
        <v>0</v>
      </c>
      <c r="G35" s="531"/>
      <c r="H35" s="527" t="e">
        <f t="shared" si="15"/>
        <v>#DIV/0!</v>
      </c>
      <c r="I35" s="589"/>
      <c r="J35" s="590"/>
      <c r="K35" s="591"/>
      <c r="L35" s="592"/>
      <c r="M35" s="592"/>
      <c r="N35" s="451"/>
      <c r="O35" s="527" t="e">
        <v>#DIV/0!</v>
      </c>
      <c r="P35" s="451">
        <v>0</v>
      </c>
      <c r="Q35" s="449"/>
      <c r="R35" s="451"/>
      <c r="S35" s="451">
        <v>0</v>
      </c>
      <c r="T35" s="451">
        <v>0</v>
      </c>
      <c r="U35" s="872"/>
      <c r="V35" s="450"/>
      <c r="W35" s="450">
        <f t="shared" si="17"/>
        <v>0</v>
      </c>
      <c r="X35" s="450">
        <f t="shared" si="12"/>
        <v>0</v>
      </c>
      <c r="Y35" s="957"/>
      <c r="Z35" s="1172"/>
      <c r="AA35" s="1053"/>
      <c r="AB35" s="1274">
        <f t="shared" si="9"/>
        <v>0</v>
      </c>
      <c r="AC35" s="527" t="e">
        <f t="shared" si="10"/>
        <v>#DIV/0!</v>
      </c>
      <c r="AD35" s="451"/>
      <c r="AE35" s="1273"/>
      <c r="AG35" s="1490"/>
      <c r="AH35" s="1488">
        <f t="shared" si="11"/>
        <v>0</v>
      </c>
      <c r="AI35" s="526"/>
      <c r="AJ35" s="1517"/>
      <c r="AK35" s="1517">
        <f t="shared" si="16"/>
        <v>0</v>
      </c>
      <c r="AL35" s="955"/>
      <c r="AM35" s="1489">
        <f t="shared" si="14"/>
        <v>0</v>
      </c>
      <c r="AN35" s="248"/>
    </row>
    <row r="36" spans="1:41" ht="19.5" thickBot="1" x14ac:dyDescent="0.35">
      <c r="A36" s="237"/>
      <c r="B36" s="578" t="s">
        <v>278</v>
      </c>
      <c r="C36" s="579" t="s">
        <v>277</v>
      </c>
      <c r="D36" s="580" t="e">
        <f>'51600'!#REF!</f>
        <v>#REF!</v>
      </c>
      <c r="E36" s="581" t="e">
        <f>'51600'!#REF!</f>
        <v>#REF!</v>
      </c>
      <c r="F36" s="583" t="e">
        <f t="shared" si="18"/>
        <v>#REF!</v>
      </c>
      <c r="G36" s="531" t="e">
        <f>'51600'!#REF!</f>
        <v>#REF!</v>
      </c>
      <c r="H36" s="527" t="e">
        <f t="shared" si="15"/>
        <v>#REF!</v>
      </c>
      <c r="I36" s="589">
        <v>277069</v>
      </c>
      <c r="J36" s="590" t="e">
        <f>'51600'!#REF!</f>
        <v>#REF!</v>
      </c>
      <c r="K36" s="591" t="e">
        <f>'51600'!#REF!</f>
        <v>#REF!</v>
      </c>
      <c r="L36" s="592">
        <v>305023</v>
      </c>
      <c r="M36" s="592" t="e">
        <f>'51600'!#REF!</f>
        <v>#REF!</v>
      </c>
      <c r="N36" s="451">
        <f>[2]Sheet1!$DI$133</f>
        <v>248773.07400000005</v>
      </c>
      <c r="O36" s="527">
        <v>0.71680702766676618</v>
      </c>
      <c r="P36" s="451">
        <v>238519.23272727276</v>
      </c>
      <c r="Q36" s="449"/>
      <c r="R36" s="497">
        <f>'51600'!C38</f>
        <v>181262</v>
      </c>
      <c r="S36" s="451">
        <v>239933</v>
      </c>
      <c r="T36" s="451">
        <v>239933</v>
      </c>
      <c r="U36" s="872">
        <f>'51600'!D38</f>
        <v>174518.00999999998</v>
      </c>
      <c r="V36" s="450">
        <f>'51600'!C38</f>
        <v>181262</v>
      </c>
      <c r="W36" s="450">
        <f t="shared" si="17"/>
        <v>181262</v>
      </c>
      <c r="X36" s="450">
        <f t="shared" si="12"/>
        <v>-6743.9900000000198</v>
      </c>
      <c r="Y36" s="957">
        <f>'[1]GENERAL FUND SUMMARY'!$Y$36</f>
        <v>186325</v>
      </c>
      <c r="Z36" s="1171">
        <f>'51600'!G38</f>
        <v>186760.11</v>
      </c>
      <c r="AA36" s="1053">
        <f>'51600'!H38</f>
        <v>163146.95999999996</v>
      </c>
      <c r="AB36" s="1274">
        <f t="shared" si="9"/>
        <v>23613.150000000023</v>
      </c>
      <c r="AC36" s="527">
        <f t="shared" si="10"/>
        <v>0.87356427451236762</v>
      </c>
      <c r="AD36" s="451">
        <f>'51600'!L38</f>
        <v>194774</v>
      </c>
      <c r="AE36" s="1273"/>
      <c r="AG36" s="1274">
        <f>'51600'!M38</f>
        <v>165041.86000000002</v>
      </c>
      <c r="AH36" s="1488">
        <f t="shared" si="11"/>
        <v>29732.139999999985</v>
      </c>
      <c r="AI36" s="526">
        <f>'51600'!O38</f>
        <v>195252</v>
      </c>
      <c r="AJ36" s="1517">
        <f>'51600'!P38</f>
        <v>189802</v>
      </c>
      <c r="AK36" s="1517">
        <f t="shared" si="16"/>
        <v>189802</v>
      </c>
      <c r="AL36" s="955">
        <f>'51600'!Q38-36782</f>
        <v>187802</v>
      </c>
      <c r="AM36" s="1547">
        <f>'51600'!Q38</f>
        <v>224584</v>
      </c>
      <c r="AN36" s="1497">
        <f>'51600'!R38</f>
        <v>215886.16</v>
      </c>
      <c r="AO36" s="763">
        <f>'51600'!V38</f>
        <v>239947</v>
      </c>
    </row>
    <row r="37" spans="1:41" ht="19.5" thickBot="1" x14ac:dyDescent="0.35">
      <c r="A37" s="237"/>
      <c r="B37" s="578" t="s">
        <v>449</v>
      </c>
      <c r="C37" s="579" t="s">
        <v>450</v>
      </c>
      <c r="D37" s="580" t="e">
        <f>#REF!</f>
        <v>#REF!</v>
      </c>
      <c r="E37" s="581" t="e">
        <f>#REF!</f>
        <v>#REF!</v>
      </c>
      <c r="F37" s="583" t="e">
        <f t="shared" si="18"/>
        <v>#REF!</v>
      </c>
      <c r="G37" s="531" t="e">
        <f>#REF!</f>
        <v>#REF!</v>
      </c>
      <c r="H37" s="527" t="e">
        <f t="shared" si="15"/>
        <v>#REF!</v>
      </c>
      <c r="I37" s="589">
        <v>6000</v>
      </c>
      <c r="J37" s="593" t="e">
        <f>#REF!</f>
        <v>#REF!</v>
      </c>
      <c r="K37" s="589">
        <v>6000</v>
      </c>
      <c r="L37" s="594">
        <v>6000</v>
      </c>
      <c r="M37" s="594">
        <v>6000</v>
      </c>
      <c r="N37" s="451">
        <f>[2]Sheet1!$DI$148</f>
        <v>1384.56</v>
      </c>
      <c r="O37" s="527">
        <v>0.23075999999999999</v>
      </c>
      <c r="P37" s="451">
        <v>1384.56</v>
      </c>
      <c r="Q37" s="449"/>
      <c r="R37" s="451" t="e">
        <f>#REF!</f>
        <v>#REF!</v>
      </c>
      <c r="S37" s="451">
        <v>0</v>
      </c>
      <c r="T37" s="451">
        <v>0</v>
      </c>
      <c r="U37" s="872"/>
      <c r="V37" s="450"/>
      <c r="W37" s="449"/>
      <c r="X37" s="450">
        <f t="shared" si="12"/>
        <v>0</v>
      </c>
      <c r="Y37" s="957"/>
      <c r="Z37" s="1120"/>
      <c r="AA37" s="1053"/>
      <c r="AB37" s="1274">
        <f t="shared" si="9"/>
        <v>0</v>
      </c>
      <c r="AC37" s="527"/>
      <c r="AD37" s="451"/>
      <c r="AE37" s="1273"/>
      <c r="AG37" s="1490"/>
      <c r="AH37" s="1488">
        <f t="shared" si="11"/>
        <v>0</v>
      </c>
      <c r="AI37" s="526"/>
      <c r="AJ37" s="1517"/>
      <c r="AK37" s="1517">
        <f t="shared" si="16"/>
        <v>0</v>
      </c>
      <c r="AL37" s="955"/>
      <c r="AM37" s="1489">
        <f t="shared" si="14"/>
        <v>0</v>
      </c>
      <c r="AN37" s="248"/>
      <c r="AO37" s="763">
        <v>0</v>
      </c>
    </row>
    <row r="38" spans="1:41" ht="19.5" thickBot="1" x14ac:dyDescent="0.35">
      <c r="A38" s="237"/>
      <c r="B38" s="578" t="s">
        <v>276</v>
      </c>
      <c r="C38" s="579" t="s">
        <v>275</v>
      </c>
      <c r="D38" s="580" t="e">
        <f>'51910'!#REF!</f>
        <v>#REF!</v>
      </c>
      <c r="E38" s="581" t="e">
        <f>'51910'!#REF!</f>
        <v>#REF!</v>
      </c>
      <c r="F38" s="583" t="e">
        <f t="shared" si="18"/>
        <v>#REF!</v>
      </c>
      <c r="G38" s="531" t="e">
        <f>'51910'!#REF!</f>
        <v>#REF!</v>
      </c>
      <c r="H38" s="527" t="e">
        <f t="shared" si="15"/>
        <v>#REF!</v>
      </c>
      <c r="I38" s="589">
        <v>93635</v>
      </c>
      <c r="J38" s="590" t="e">
        <f>'51910'!#REF!</f>
        <v>#REF!</v>
      </c>
      <c r="K38" s="589" t="e">
        <f>'51910'!#REF!</f>
        <v>#REF!</v>
      </c>
      <c r="L38" s="594">
        <v>118315</v>
      </c>
      <c r="M38" s="594" t="e">
        <f>'51910'!#REF!</f>
        <v>#REF!</v>
      </c>
      <c r="N38" s="451">
        <v>129972</v>
      </c>
      <c r="O38" s="527">
        <v>1.0985251236107003</v>
      </c>
      <c r="P38" s="451">
        <v>141787.63636363635</v>
      </c>
      <c r="Q38" s="449"/>
      <c r="R38" s="451" t="e">
        <f>'51910'!#REF!</f>
        <v>#REF!</v>
      </c>
      <c r="S38" s="451">
        <v>84450</v>
      </c>
      <c r="T38" s="451">
        <v>84450</v>
      </c>
      <c r="U38" s="872">
        <f>'51910'!D20</f>
        <v>51252.07</v>
      </c>
      <c r="V38" s="450">
        <f>'51910'!C20</f>
        <v>95200</v>
      </c>
      <c r="W38" s="450">
        <f t="shared" si="17"/>
        <v>95200</v>
      </c>
      <c r="X38" s="450">
        <f t="shared" si="12"/>
        <v>-43947.93</v>
      </c>
      <c r="Y38" s="957">
        <f>'[1]GENERAL FUND SUMMARY'!$Y$38</f>
        <v>55079</v>
      </c>
      <c r="Z38" s="957">
        <f>Y38</f>
        <v>55079</v>
      </c>
      <c r="AA38" s="1053">
        <f>'51910'!G20</f>
        <v>65325.53</v>
      </c>
      <c r="AB38" s="1274">
        <f t="shared" si="9"/>
        <v>-10246.529999999999</v>
      </c>
      <c r="AC38" s="527">
        <f>AA38/Z38</f>
        <v>1.1860333339385247</v>
      </c>
      <c r="AD38" s="451">
        <f>'51910'!J20</f>
        <v>71750</v>
      </c>
      <c r="AE38" s="1273"/>
      <c r="AG38" s="1490">
        <f>'51910'!K20</f>
        <v>121492.49000000002</v>
      </c>
      <c r="AH38" s="1488">
        <f t="shared" si="11"/>
        <v>-49742.49000000002</v>
      </c>
      <c r="AI38" s="526">
        <f>'51910'!M20</f>
        <v>46250</v>
      </c>
      <c r="AJ38" s="1517">
        <f>'51910'!M20</f>
        <v>46250</v>
      </c>
      <c r="AK38" s="1517">
        <f t="shared" si="16"/>
        <v>46250</v>
      </c>
      <c r="AL38" s="955">
        <f>'51910'!N20</f>
        <v>46250</v>
      </c>
      <c r="AM38" s="1489">
        <f t="shared" si="14"/>
        <v>46250</v>
      </c>
      <c r="AN38" s="248">
        <v>46250</v>
      </c>
      <c r="AO38" s="763">
        <f>'51910'!R20</f>
        <v>1300</v>
      </c>
    </row>
    <row r="39" spans="1:41" ht="19.5" thickBot="1" x14ac:dyDescent="0.35">
      <c r="A39" s="237"/>
      <c r="B39" s="578" t="s">
        <v>274</v>
      </c>
      <c r="C39" s="579" t="s">
        <v>273</v>
      </c>
      <c r="D39" s="580" t="e">
        <f>'51920'!#REF!</f>
        <v>#REF!</v>
      </c>
      <c r="E39" s="581" t="e">
        <f>'51920'!#REF!</f>
        <v>#REF!</v>
      </c>
      <c r="F39" s="583" t="e">
        <f t="shared" si="18"/>
        <v>#REF!</v>
      </c>
      <c r="G39" s="531" t="e">
        <f>'51920'!#REF!</f>
        <v>#REF!</v>
      </c>
      <c r="H39" s="527" t="e">
        <f t="shared" si="15"/>
        <v>#REF!</v>
      </c>
      <c r="I39" s="589">
        <v>43243</v>
      </c>
      <c r="J39" s="593" t="e">
        <f>'51920'!#REF!</f>
        <v>#REF!</v>
      </c>
      <c r="K39" s="594" t="e">
        <f>'51920'!#REF!</f>
        <v>#REF!</v>
      </c>
      <c r="L39" s="594">
        <v>50175</v>
      </c>
      <c r="M39" s="594" t="e">
        <f>'51920'!#REF!</f>
        <v>#REF!</v>
      </c>
      <c r="N39" s="451">
        <f>[2]Sheet1!$DI$178</f>
        <v>39128.670000000013</v>
      </c>
      <c r="O39" s="527">
        <v>0.70635515695067286</v>
      </c>
      <c r="P39" s="451">
        <v>38663.312727272736</v>
      </c>
      <c r="Q39" s="449"/>
      <c r="R39" s="451" t="e">
        <f>'51920'!#REF!</f>
        <v>#REF!</v>
      </c>
      <c r="S39" s="451">
        <v>43123</v>
      </c>
      <c r="T39" s="451">
        <v>43123</v>
      </c>
      <c r="U39" s="872">
        <f>'51920'!F23</f>
        <v>34360.270000000004</v>
      </c>
      <c r="V39" s="450">
        <f>'51920'!E23</f>
        <v>41811</v>
      </c>
      <c r="W39" s="450">
        <f t="shared" si="17"/>
        <v>41811</v>
      </c>
      <c r="X39" s="450">
        <f t="shared" si="12"/>
        <v>-7450.7299999999959</v>
      </c>
      <c r="Y39" s="957">
        <f>'[1]GENERAL FUND SUMMARY'!$Y$39</f>
        <v>37600</v>
      </c>
      <c r="Z39" s="1173">
        <f>'51920'!I23</f>
        <v>46708</v>
      </c>
      <c r="AA39" s="1053">
        <f>'51920'!J23</f>
        <v>44593.829999999994</v>
      </c>
      <c r="AB39" s="1274">
        <f t="shared" si="9"/>
        <v>2114.1700000000055</v>
      </c>
      <c r="AC39" s="527">
        <f>AA39/Z39</f>
        <v>0.95473644771773558</v>
      </c>
      <c r="AD39" s="451">
        <f>'51920'!M23</f>
        <v>40074</v>
      </c>
      <c r="AE39" s="1273"/>
      <c r="AG39" s="1490">
        <f>'51920'!N23</f>
        <v>47816.74</v>
      </c>
      <c r="AH39" s="1488">
        <f t="shared" si="11"/>
        <v>-7742.739999999998</v>
      </c>
      <c r="AI39" s="526">
        <f>'51920'!P23</f>
        <v>44074</v>
      </c>
      <c r="AJ39" s="1517">
        <f>'51920'!P23</f>
        <v>44074</v>
      </c>
      <c r="AK39" s="1517">
        <f t="shared" si="16"/>
        <v>44074</v>
      </c>
      <c r="AL39" s="955">
        <f>'51920'!Q23</f>
        <v>44074</v>
      </c>
      <c r="AM39" s="1489">
        <f t="shared" si="14"/>
        <v>44074</v>
      </c>
      <c r="AN39" s="248">
        <v>44074</v>
      </c>
      <c r="AO39" s="763">
        <f>'51920'!U23</f>
        <v>43150</v>
      </c>
    </row>
    <row r="40" spans="1:41" ht="19.5" hidden="1" thickBot="1" x14ac:dyDescent="0.35">
      <c r="A40" s="237"/>
      <c r="B40" s="578" t="s">
        <v>272</v>
      </c>
      <c r="C40" s="579" t="s">
        <v>271</v>
      </c>
      <c r="D40" s="580"/>
      <c r="E40" s="581"/>
      <c r="F40" s="583">
        <f t="shared" si="18"/>
        <v>0</v>
      </c>
      <c r="G40" s="531"/>
      <c r="H40" s="527" t="e">
        <f t="shared" si="15"/>
        <v>#DIV/0!</v>
      </c>
      <c r="I40" s="589"/>
      <c r="J40" s="590"/>
      <c r="K40" s="589"/>
      <c r="L40" s="594"/>
      <c r="M40" s="594"/>
      <c r="N40" s="451"/>
      <c r="O40" s="527" t="e">
        <v>#DIV/0!</v>
      </c>
      <c r="P40" s="451">
        <v>0</v>
      </c>
      <c r="Q40" s="449"/>
      <c r="R40" s="451"/>
      <c r="S40" s="451">
        <v>0</v>
      </c>
      <c r="T40" s="451">
        <v>0</v>
      </c>
      <c r="U40" s="872"/>
      <c r="V40" s="450"/>
      <c r="W40" s="449"/>
      <c r="X40" s="450">
        <f t="shared" si="12"/>
        <v>0</v>
      </c>
      <c r="Y40" s="957"/>
      <c r="Z40" s="957"/>
      <c r="AA40" s="1053"/>
      <c r="AB40" s="1274">
        <f t="shared" si="9"/>
        <v>0</v>
      </c>
      <c r="AC40" s="527" t="e">
        <f>AA40/Z40</f>
        <v>#DIV/0!</v>
      </c>
      <c r="AD40" s="451"/>
      <c r="AE40" s="1273"/>
      <c r="AG40" s="1490"/>
      <c r="AH40" s="1488">
        <f t="shared" si="11"/>
        <v>0</v>
      </c>
      <c r="AI40" s="526"/>
      <c r="AJ40" s="1517"/>
      <c r="AK40" s="1517">
        <f t="shared" si="16"/>
        <v>0</v>
      </c>
      <c r="AL40" s="955"/>
      <c r="AM40" s="1489">
        <f t="shared" si="14"/>
        <v>0</v>
      </c>
      <c r="AN40" s="248"/>
    </row>
    <row r="41" spans="1:41" ht="19.5" thickBot="1" x14ac:dyDescent="0.35">
      <c r="A41" s="237"/>
      <c r="B41" s="578" t="s">
        <v>270</v>
      </c>
      <c r="C41" s="579" t="s">
        <v>768</v>
      </c>
      <c r="D41" s="580" t="e">
        <f>#REF!</f>
        <v>#REF!</v>
      </c>
      <c r="E41" s="581" t="e">
        <f>#REF!</f>
        <v>#REF!</v>
      </c>
      <c r="F41" s="583" t="e">
        <f t="shared" si="18"/>
        <v>#REF!</v>
      </c>
      <c r="G41" s="531" t="e">
        <f>#REF!</f>
        <v>#REF!</v>
      </c>
      <c r="H41" s="527" t="e">
        <f t="shared" si="15"/>
        <v>#REF!</v>
      </c>
      <c r="I41" s="589">
        <v>3475</v>
      </c>
      <c r="J41" s="593" t="e">
        <f>#REF!</f>
        <v>#REF!</v>
      </c>
      <c r="K41" s="594" t="e">
        <f>#REF!</f>
        <v>#REF!</v>
      </c>
      <c r="L41" s="594">
        <v>4175</v>
      </c>
      <c r="M41" s="594" t="e">
        <f>#REF!</f>
        <v>#REF!</v>
      </c>
      <c r="N41" s="451">
        <v>4297.29</v>
      </c>
      <c r="O41" s="527">
        <v>1.0292910179640717</v>
      </c>
      <c r="P41" s="451">
        <v>4687.9527272727273</v>
      </c>
      <c r="Q41" s="449"/>
      <c r="R41" s="451" t="e">
        <f>#REF!</f>
        <v>#REF!</v>
      </c>
      <c r="S41" s="451">
        <v>0</v>
      </c>
      <c r="T41" s="451">
        <v>0</v>
      </c>
      <c r="U41" s="872"/>
      <c r="V41" s="450"/>
      <c r="W41" s="449"/>
      <c r="X41" s="450">
        <f t="shared" si="12"/>
        <v>0</v>
      </c>
      <c r="Y41" s="957"/>
      <c r="Z41" s="957"/>
      <c r="AA41" s="1053"/>
      <c r="AB41" s="1274">
        <f t="shared" si="9"/>
        <v>0</v>
      </c>
      <c r="AC41" s="527"/>
      <c r="AD41" s="451"/>
      <c r="AE41" s="1273"/>
      <c r="AG41" s="1490"/>
      <c r="AH41" s="1488">
        <f t="shared" si="11"/>
        <v>0</v>
      </c>
      <c r="AI41" s="526"/>
      <c r="AJ41" s="1517"/>
      <c r="AK41" s="1517">
        <f t="shared" si="16"/>
        <v>0</v>
      </c>
      <c r="AL41" s="955"/>
      <c r="AM41" s="1489">
        <f t="shared" si="14"/>
        <v>0</v>
      </c>
      <c r="AN41" s="248"/>
    </row>
    <row r="42" spans="1:41" ht="19.5" hidden="1" thickBot="1" x14ac:dyDescent="0.35">
      <c r="A42" s="237"/>
      <c r="B42" s="578" t="s">
        <v>269</v>
      </c>
      <c r="C42" s="579" t="s">
        <v>268</v>
      </c>
      <c r="D42" s="580"/>
      <c r="E42" s="581"/>
      <c r="F42" s="583">
        <f t="shared" si="18"/>
        <v>0</v>
      </c>
      <c r="G42" s="531"/>
      <c r="H42" s="527" t="e">
        <f t="shared" si="15"/>
        <v>#DIV/0!</v>
      </c>
      <c r="I42" s="589"/>
      <c r="J42" s="590"/>
      <c r="K42" s="589"/>
      <c r="L42" s="594"/>
      <c r="M42" s="594"/>
      <c r="N42" s="451"/>
      <c r="O42" s="527" t="e">
        <v>#DIV/0!</v>
      </c>
      <c r="P42" s="451">
        <v>0</v>
      </c>
      <c r="Q42" s="449"/>
      <c r="R42" s="451"/>
      <c r="S42" s="451">
        <v>0</v>
      </c>
      <c r="T42" s="451">
        <v>0</v>
      </c>
      <c r="U42" s="872"/>
      <c r="V42" s="450"/>
      <c r="W42" s="449"/>
      <c r="X42" s="450">
        <f t="shared" si="12"/>
        <v>0</v>
      </c>
      <c r="Y42" s="957"/>
      <c r="Z42" s="957"/>
      <c r="AA42" s="1053"/>
      <c r="AB42" s="1274">
        <f t="shared" si="9"/>
        <v>0</v>
      </c>
      <c r="AC42" s="527"/>
      <c r="AD42" s="451"/>
      <c r="AE42" s="1273"/>
      <c r="AG42" s="1490"/>
      <c r="AH42" s="1488">
        <f t="shared" si="11"/>
        <v>0</v>
      </c>
      <c r="AI42" s="526"/>
      <c r="AJ42" s="1517"/>
      <c r="AK42" s="1517">
        <f t="shared" si="16"/>
        <v>0</v>
      </c>
      <c r="AL42" s="955"/>
      <c r="AM42" s="1489">
        <f t="shared" si="14"/>
        <v>0</v>
      </c>
      <c r="AN42" s="248"/>
    </row>
    <row r="43" spans="1:41" ht="19.5" hidden="1" thickBot="1" x14ac:dyDescent="0.35">
      <c r="A43" s="237"/>
      <c r="B43" s="578" t="s">
        <v>267</v>
      </c>
      <c r="C43" s="579" t="s">
        <v>266</v>
      </c>
      <c r="D43" s="580"/>
      <c r="E43" s="581"/>
      <c r="F43" s="583">
        <f t="shared" si="18"/>
        <v>0</v>
      </c>
      <c r="G43" s="531"/>
      <c r="H43" s="527" t="e">
        <f t="shared" si="15"/>
        <v>#DIV/0!</v>
      </c>
      <c r="I43" s="589"/>
      <c r="J43" s="590"/>
      <c r="K43" s="589"/>
      <c r="L43" s="594"/>
      <c r="M43" s="594"/>
      <c r="N43" s="451"/>
      <c r="O43" s="527" t="e">
        <v>#DIV/0!</v>
      </c>
      <c r="P43" s="451">
        <v>0</v>
      </c>
      <c r="Q43" s="449"/>
      <c r="R43" s="451"/>
      <c r="S43" s="451">
        <v>0</v>
      </c>
      <c r="T43" s="451">
        <v>0</v>
      </c>
      <c r="U43" s="872"/>
      <c r="V43" s="450"/>
      <c r="W43" s="449"/>
      <c r="X43" s="450">
        <f t="shared" si="12"/>
        <v>0</v>
      </c>
      <c r="Y43" s="957"/>
      <c r="Z43" s="957"/>
      <c r="AA43" s="1053"/>
      <c r="AB43" s="1274">
        <f t="shared" si="9"/>
        <v>0</v>
      </c>
      <c r="AC43" s="527"/>
      <c r="AD43" s="451"/>
      <c r="AE43" s="1273"/>
      <c r="AG43" s="1490"/>
      <c r="AH43" s="1488">
        <f t="shared" si="11"/>
        <v>0</v>
      </c>
      <c r="AI43" s="526"/>
      <c r="AJ43" s="1517"/>
      <c r="AK43" s="1517">
        <f t="shared" si="16"/>
        <v>0</v>
      </c>
      <c r="AL43" s="955"/>
      <c r="AM43" s="1489">
        <f t="shared" si="14"/>
        <v>0</v>
      </c>
      <c r="AN43" s="248"/>
    </row>
    <row r="44" spans="1:41" ht="19.5" hidden="1" thickBot="1" x14ac:dyDescent="0.35">
      <c r="A44" s="237"/>
      <c r="B44" s="578" t="s">
        <v>265</v>
      </c>
      <c r="C44" s="579" t="s">
        <v>264</v>
      </c>
      <c r="D44" s="580"/>
      <c r="E44" s="581"/>
      <c r="F44" s="583">
        <f t="shared" si="18"/>
        <v>0</v>
      </c>
      <c r="G44" s="531"/>
      <c r="H44" s="527" t="e">
        <f t="shared" si="15"/>
        <v>#DIV/0!</v>
      </c>
      <c r="I44" s="589"/>
      <c r="J44" s="590"/>
      <c r="K44" s="589"/>
      <c r="L44" s="594"/>
      <c r="M44" s="594"/>
      <c r="N44" s="451"/>
      <c r="O44" s="527" t="e">
        <v>#DIV/0!</v>
      </c>
      <c r="P44" s="451">
        <v>0</v>
      </c>
      <c r="Q44" s="449"/>
      <c r="R44" s="451"/>
      <c r="S44" s="451">
        <v>0</v>
      </c>
      <c r="T44" s="451">
        <v>0</v>
      </c>
      <c r="U44" s="872"/>
      <c r="V44" s="450"/>
      <c r="W44" s="449"/>
      <c r="X44" s="450">
        <f t="shared" si="12"/>
        <v>0</v>
      </c>
      <c r="Y44" s="957"/>
      <c r="Z44" s="957"/>
      <c r="AA44" s="1053"/>
      <c r="AB44" s="1274">
        <f t="shared" si="9"/>
        <v>0</v>
      </c>
      <c r="AC44" s="527"/>
      <c r="AD44" s="451"/>
      <c r="AE44" s="1273"/>
      <c r="AG44" s="1490"/>
      <c r="AH44" s="1488">
        <f t="shared" si="11"/>
        <v>0</v>
      </c>
      <c r="AI44" s="526"/>
      <c r="AJ44" s="1517"/>
      <c r="AK44" s="1517">
        <f t="shared" si="16"/>
        <v>0</v>
      </c>
      <c r="AL44" s="955"/>
      <c r="AM44" s="1489">
        <f t="shared" si="14"/>
        <v>0</v>
      </c>
      <c r="AN44" s="248"/>
    </row>
    <row r="45" spans="1:41" ht="19.5" hidden="1" thickBot="1" x14ac:dyDescent="0.35">
      <c r="A45" s="237"/>
      <c r="B45" s="578" t="s">
        <v>263</v>
      </c>
      <c r="C45" s="579" t="s">
        <v>262</v>
      </c>
      <c r="D45" s="580"/>
      <c r="E45" s="581"/>
      <c r="F45" s="583">
        <f t="shared" si="18"/>
        <v>0</v>
      </c>
      <c r="G45" s="531"/>
      <c r="H45" s="527" t="e">
        <f t="shared" si="15"/>
        <v>#DIV/0!</v>
      </c>
      <c r="I45" s="589"/>
      <c r="J45" s="590"/>
      <c r="K45" s="589"/>
      <c r="L45" s="594"/>
      <c r="M45" s="594"/>
      <c r="N45" s="451"/>
      <c r="O45" s="527" t="e">
        <v>#DIV/0!</v>
      </c>
      <c r="P45" s="451">
        <v>0</v>
      </c>
      <c r="Q45" s="449"/>
      <c r="R45" s="451"/>
      <c r="S45" s="451">
        <v>0</v>
      </c>
      <c r="T45" s="451">
        <v>0</v>
      </c>
      <c r="U45" s="872"/>
      <c r="V45" s="450"/>
      <c r="W45" s="449"/>
      <c r="X45" s="450">
        <f t="shared" si="12"/>
        <v>0</v>
      </c>
      <c r="Y45" s="957"/>
      <c r="Z45" s="957"/>
      <c r="AA45" s="1053"/>
      <c r="AB45" s="1274">
        <f t="shared" si="9"/>
        <v>0</v>
      </c>
      <c r="AC45" s="527"/>
      <c r="AD45" s="451"/>
      <c r="AE45" s="1273"/>
      <c r="AG45" s="1490"/>
      <c r="AH45" s="1488">
        <f t="shared" si="11"/>
        <v>0</v>
      </c>
      <c r="AI45" s="526"/>
      <c r="AJ45" s="1517"/>
      <c r="AK45" s="1517">
        <f t="shared" si="16"/>
        <v>0</v>
      </c>
      <c r="AL45" s="955"/>
      <c r="AM45" s="1489">
        <f t="shared" si="14"/>
        <v>0</v>
      </c>
      <c r="AN45" s="248"/>
    </row>
    <row r="46" spans="1:41" ht="19.5" hidden="1" thickBot="1" x14ac:dyDescent="0.35">
      <c r="A46" s="237"/>
      <c r="B46" s="578" t="s">
        <v>261</v>
      </c>
      <c r="C46" s="579" t="s">
        <v>260</v>
      </c>
      <c r="D46" s="580"/>
      <c r="E46" s="581"/>
      <c r="F46" s="583">
        <f t="shared" si="18"/>
        <v>0</v>
      </c>
      <c r="G46" s="531"/>
      <c r="H46" s="527" t="e">
        <f t="shared" si="15"/>
        <v>#DIV/0!</v>
      </c>
      <c r="I46" s="589"/>
      <c r="J46" s="590"/>
      <c r="K46" s="589"/>
      <c r="L46" s="594"/>
      <c r="M46" s="594"/>
      <c r="N46" s="451"/>
      <c r="O46" s="527" t="e">
        <v>#DIV/0!</v>
      </c>
      <c r="P46" s="451">
        <v>0</v>
      </c>
      <c r="Q46" s="449"/>
      <c r="R46" s="451"/>
      <c r="S46" s="451">
        <v>0</v>
      </c>
      <c r="T46" s="451">
        <v>0</v>
      </c>
      <c r="U46" s="872"/>
      <c r="V46" s="450"/>
      <c r="W46" s="449"/>
      <c r="X46" s="450">
        <f t="shared" si="12"/>
        <v>0</v>
      </c>
      <c r="Y46" s="957"/>
      <c r="Z46" s="957"/>
      <c r="AA46" s="1053"/>
      <c r="AB46" s="1274">
        <f t="shared" si="9"/>
        <v>0</v>
      </c>
      <c r="AC46" s="527"/>
      <c r="AD46" s="451"/>
      <c r="AE46" s="1273"/>
      <c r="AG46" s="1490"/>
      <c r="AH46" s="1488">
        <f t="shared" si="11"/>
        <v>0</v>
      </c>
      <c r="AI46" s="526"/>
      <c r="AJ46" s="1517"/>
      <c r="AK46" s="1517">
        <f t="shared" si="16"/>
        <v>0</v>
      </c>
      <c r="AL46" s="955"/>
      <c r="AM46" s="1489">
        <f t="shared" si="14"/>
        <v>0</v>
      </c>
      <c r="AN46" s="248"/>
    </row>
    <row r="47" spans="1:41" ht="19.5" hidden="1" thickBot="1" x14ac:dyDescent="0.35">
      <c r="A47" s="237"/>
      <c r="B47" s="578" t="s">
        <v>259</v>
      </c>
      <c r="C47" s="579" t="s">
        <v>258</v>
      </c>
      <c r="D47" s="580"/>
      <c r="E47" s="581"/>
      <c r="F47" s="583">
        <f t="shared" si="18"/>
        <v>0</v>
      </c>
      <c r="G47" s="531"/>
      <c r="H47" s="527" t="e">
        <f t="shared" si="15"/>
        <v>#DIV/0!</v>
      </c>
      <c r="I47" s="589"/>
      <c r="J47" s="590"/>
      <c r="K47" s="589"/>
      <c r="L47" s="594"/>
      <c r="M47" s="594"/>
      <c r="N47" s="451"/>
      <c r="O47" s="527" t="e">
        <v>#DIV/0!</v>
      </c>
      <c r="P47" s="451">
        <v>0</v>
      </c>
      <c r="Q47" s="449"/>
      <c r="R47" s="451"/>
      <c r="S47" s="451">
        <v>0</v>
      </c>
      <c r="T47" s="451">
        <v>0</v>
      </c>
      <c r="U47" s="872"/>
      <c r="V47" s="450"/>
      <c r="W47" s="449"/>
      <c r="X47" s="450">
        <f t="shared" si="12"/>
        <v>0</v>
      </c>
      <c r="Y47" s="957"/>
      <c r="Z47" s="957"/>
      <c r="AA47" s="1053"/>
      <c r="AB47" s="1274">
        <f t="shared" si="9"/>
        <v>0</v>
      </c>
      <c r="AC47" s="527"/>
      <c r="AD47" s="451"/>
      <c r="AE47" s="1273"/>
      <c r="AG47" s="1490"/>
      <c r="AH47" s="1488">
        <f t="shared" si="11"/>
        <v>0</v>
      </c>
      <c r="AI47" s="526"/>
      <c r="AJ47" s="1517"/>
      <c r="AK47" s="1517">
        <f t="shared" si="16"/>
        <v>0</v>
      </c>
      <c r="AL47" s="955"/>
      <c r="AM47" s="1489">
        <f t="shared" si="14"/>
        <v>0</v>
      </c>
      <c r="AN47" s="248"/>
    </row>
    <row r="48" spans="1:41" ht="19.5" thickBot="1" x14ac:dyDescent="0.35">
      <c r="A48" s="237"/>
      <c r="B48" s="578" t="s">
        <v>475</v>
      </c>
      <c r="C48" s="579" t="s">
        <v>769</v>
      </c>
      <c r="D48" s="580">
        <f>'[6]51940,51945,55450'!$D$29</f>
        <v>2328</v>
      </c>
      <c r="E48" s="581" t="e">
        <f>#REF!</f>
        <v>#REF!</v>
      </c>
      <c r="F48" s="583" t="e">
        <f t="shared" si="18"/>
        <v>#REF!</v>
      </c>
      <c r="G48" s="531"/>
      <c r="H48" s="527" t="e">
        <f t="shared" si="15"/>
        <v>#REF!</v>
      </c>
      <c r="I48" s="589">
        <v>2328</v>
      </c>
      <c r="J48" s="590" t="e">
        <f>#REF!</f>
        <v>#REF!</v>
      </c>
      <c r="K48" s="589">
        <v>2328</v>
      </c>
      <c r="L48" s="594">
        <v>2328</v>
      </c>
      <c r="M48" s="594">
        <v>0</v>
      </c>
      <c r="N48" s="451">
        <v>0</v>
      </c>
      <c r="O48" s="527">
        <v>0</v>
      </c>
      <c r="P48" s="451">
        <v>0</v>
      </c>
      <c r="Q48" s="449"/>
      <c r="R48" s="451" t="e">
        <f>#REF!</f>
        <v>#REF!</v>
      </c>
      <c r="S48" s="451">
        <v>0</v>
      </c>
      <c r="T48" s="451">
        <v>0</v>
      </c>
      <c r="U48" s="872"/>
      <c r="V48" s="450"/>
      <c r="W48" s="449"/>
      <c r="X48" s="450">
        <f t="shared" si="12"/>
        <v>0</v>
      </c>
      <c r="Y48" s="957"/>
      <c r="Z48" s="957"/>
      <c r="AA48" s="1053"/>
      <c r="AB48" s="1274">
        <f t="shared" si="9"/>
        <v>0</v>
      </c>
      <c r="AC48" s="527"/>
      <c r="AD48" s="451"/>
      <c r="AE48" s="1273"/>
      <c r="AG48" s="1490"/>
      <c r="AH48" s="1488">
        <f t="shared" si="11"/>
        <v>0</v>
      </c>
      <c r="AI48" s="526"/>
      <c r="AJ48" s="1517"/>
      <c r="AK48" s="1517">
        <f t="shared" si="16"/>
        <v>0</v>
      </c>
      <c r="AL48" s="955"/>
      <c r="AM48" s="1489">
        <f t="shared" si="14"/>
        <v>0</v>
      </c>
      <c r="AN48" s="248"/>
    </row>
    <row r="49" spans="1:41" ht="20.25" thickBot="1" x14ac:dyDescent="0.4">
      <c r="A49" s="237"/>
      <c r="B49" s="578" t="s">
        <v>257</v>
      </c>
      <c r="C49" s="579" t="s">
        <v>520</v>
      </c>
      <c r="D49" s="580" t="e">
        <f>'52100'!#REF!</f>
        <v>#REF!</v>
      </c>
      <c r="E49" s="581" t="e">
        <f>'52100'!#REF!</f>
        <v>#REF!</v>
      </c>
      <c r="F49" s="583" t="e">
        <f t="shared" si="18"/>
        <v>#REF!</v>
      </c>
      <c r="G49" s="531" t="e">
        <f>'52100'!#REF!</f>
        <v>#REF!</v>
      </c>
      <c r="H49" s="527" t="e">
        <f t="shared" si="15"/>
        <v>#REF!</v>
      </c>
      <c r="I49" s="589">
        <v>916467</v>
      </c>
      <c r="J49" s="590" t="e">
        <f>'52100'!#REF!</f>
        <v>#REF!</v>
      </c>
      <c r="K49" s="595" t="e">
        <f>'52100'!#REF!</f>
        <v>#REF!</v>
      </c>
      <c r="L49" s="596">
        <v>894252</v>
      </c>
      <c r="M49" s="596" t="e">
        <f>'52100'!#REF!</f>
        <v>#REF!</v>
      </c>
      <c r="N49" s="451">
        <f>[2]Sheet1!$DI$208</f>
        <v>855243.58799999999</v>
      </c>
      <c r="O49" s="527">
        <v>0.83594427521548731</v>
      </c>
      <c r="P49" s="451">
        <v>815503.46181818168</v>
      </c>
      <c r="Q49" s="449"/>
      <c r="R49" s="451">
        <f>'52100'!C59</f>
        <v>720372</v>
      </c>
      <c r="S49" s="451">
        <v>829133</v>
      </c>
      <c r="T49" s="451">
        <v>829133</v>
      </c>
      <c r="U49" s="872">
        <f>'52100'!D59</f>
        <v>698502.7300000001</v>
      </c>
      <c r="V49" s="450">
        <f>'52100'!C59</f>
        <v>720372</v>
      </c>
      <c r="W49" s="450">
        <f t="shared" ref="W49:W58" si="19">V49</f>
        <v>720372</v>
      </c>
      <c r="X49" s="450">
        <f t="shared" si="12"/>
        <v>-21869.269999999902</v>
      </c>
      <c r="Y49" s="957">
        <f>'52100'!F59</f>
        <v>790105</v>
      </c>
      <c r="Z49" s="1173">
        <f>'52100'!G59</f>
        <v>794238.51</v>
      </c>
      <c r="AA49" s="1053">
        <f>'52100'!H59</f>
        <v>713186.9219999999</v>
      </c>
      <c r="AB49" s="1274">
        <f t="shared" si="9"/>
        <v>81051.588000000105</v>
      </c>
      <c r="AC49" s="527">
        <f t="shared" ref="AC49:AC58" si="20">AA49/Z49</f>
        <v>0.8979505690299503</v>
      </c>
      <c r="AD49" s="451">
        <f>'52100'!L59</f>
        <v>770050</v>
      </c>
      <c r="AE49" s="1273"/>
      <c r="AG49" s="1490">
        <f>'52100'!M59</f>
        <v>763074.88</v>
      </c>
      <c r="AH49" s="1488">
        <f t="shared" si="11"/>
        <v>6975.1199999999953</v>
      </c>
      <c r="AI49" s="526">
        <f>'52100'!O59</f>
        <v>767121</v>
      </c>
      <c r="AJ49" s="1517">
        <f>'52100'!P59</f>
        <v>741802</v>
      </c>
      <c r="AK49" s="1517">
        <f t="shared" si="16"/>
        <v>741802</v>
      </c>
      <c r="AL49" s="955">
        <f>'52100'!Q59</f>
        <v>740802</v>
      </c>
      <c r="AM49" s="1489">
        <f t="shared" si="14"/>
        <v>740802</v>
      </c>
      <c r="AN49" s="248">
        <f>'52100'!R59</f>
        <v>659342.66</v>
      </c>
      <c r="AO49" s="763">
        <f>'52100'!V59</f>
        <v>835916</v>
      </c>
    </row>
    <row r="50" spans="1:41" ht="20.25" thickBot="1" x14ac:dyDescent="0.4">
      <c r="A50" s="237"/>
      <c r="B50" s="578" t="s">
        <v>255</v>
      </c>
      <c r="C50" s="579" t="s">
        <v>711</v>
      </c>
      <c r="D50" s="580"/>
      <c r="E50" s="581"/>
      <c r="F50" s="583"/>
      <c r="G50" s="531"/>
      <c r="H50" s="527"/>
      <c r="I50" s="589"/>
      <c r="J50" s="590"/>
      <c r="K50" s="595"/>
      <c r="L50" s="596">
        <v>60000</v>
      </c>
      <c r="M50" s="596"/>
      <c r="N50" s="451">
        <v>60000</v>
      </c>
      <c r="O50" s="527"/>
      <c r="P50" s="451">
        <v>60000</v>
      </c>
      <c r="Q50" s="449"/>
      <c r="R50" s="451" t="e">
        <f>'52300'!#REF!</f>
        <v>#REF!</v>
      </c>
      <c r="S50" s="451" t="e">
        <f>'52300'!#REF!</f>
        <v>#REF!</v>
      </c>
      <c r="T50" s="890">
        <v>45000</v>
      </c>
      <c r="U50" s="872">
        <f>'52300'!D5</f>
        <v>5000</v>
      </c>
      <c r="V50" s="450">
        <f>'52300'!C5</f>
        <v>30000</v>
      </c>
      <c r="W50" s="450">
        <f t="shared" si="19"/>
        <v>30000</v>
      </c>
      <c r="X50" s="450">
        <f t="shared" si="12"/>
        <v>-25000</v>
      </c>
      <c r="Y50" s="957">
        <f>'52300'!F5</f>
        <v>60000</v>
      </c>
      <c r="Z50" s="1171">
        <f>'52300'!G6</f>
        <v>47178.22</v>
      </c>
      <c r="AA50" s="1053">
        <f>'52300'!H6</f>
        <v>17000</v>
      </c>
      <c r="AB50" s="1274">
        <f t="shared" si="9"/>
        <v>30178.22</v>
      </c>
      <c r="AC50" s="527">
        <f t="shared" si="20"/>
        <v>0.36033576510516929</v>
      </c>
      <c r="AD50" s="451">
        <f>'52300'!K6</f>
        <v>30000</v>
      </c>
      <c r="AE50" s="1273"/>
      <c r="AG50" s="1274">
        <f>'52300'!L6</f>
        <v>35000</v>
      </c>
      <c r="AH50" s="1488">
        <f t="shared" si="11"/>
        <v>-5000</v>
      </c>
      <c r="AI50" s="526">
        <f>'52300'!N5</f>
        <v>30000</v>
      </c>
      <c r="AJ50" s="935">
        <f>'52300'!O6</f>
        <v>30000</v>
      </c>
      <c r="AK50" s="1517">
        <f t="shared" si="16"/>
        <v>30000</v>
      </c>
      <c r="AL50" s="933">
        <f>'52300'!O6</f>
        <v>30000</v>
      </c>
      <c r="AM50" s="1489">
        <f t="shared" si="14"/>
        <v>30000</v>
      </c>
      <c r="AN50" s="248">
        <f>AM50</f>
        <v>30000</v>
      </c>
      <c r="AO50" s="763">
        <f>'52300'!S6</f>
        <v>30000</v>
      </c>
    </row>
    <row r="51" spans="1:41" ht="20.25" thickBot="1" x14ac:dyDescent="0.4">
      <c r="A51" s="237"/>
      <c r="B51" s="578" t="s">
        <v>593</v>
      </c>
      <c r="C51" s="579" t="s">
        <v>256</v>
      </c>
      <c r="D51" s="580">
        <f>'[6]COURTHOUSE SECURITY-52950'!$D$16</f>
        <v>24607</v>
      </c>
      <c r="E51" s="582" t="e">
        <f>'52950'!#REF!</f>
        <v>#REF!</v>
      </c>
      <c r="F51" s="583" t="e">
        <f t="shared" si="18"/>
        <v>#REF!</v>
      </c>
      <c r="G51" s="531" t="e">
        <f>'52950'!#REF!</f>
        <v>#REF!</v>
      </c>
      <c r="H51" s="527" t="e">
        <f t="shared" si="15"/>
        <v>#REF!</v>
      </c>
      <c r="I51" s="589">
        <v>24607</v>
      </c>
      <c r="J51" s="590" t="e">
        <f>'52950'!#REF!</f>
        <v>#REF!</v>
      </c>
      <c r="K51" s="595" t="e">
        <f>'52950'!#REF!</f>
        <v>#REF!</v>
      </c>
      <c r="L51" s="596">
        <v>33255</v>
      </c>
      <c r="M51" s="596" t="e">
        <f>'52950'!#REF!</f>
        <v>#REF!</v>
      </c>
      <c r="N51" s="451">
        <f>[2]Sheet1!$DI$253</f>
        <v>32744.690999999999</v>
      </c>
      <c r="O51" s="527">
        <v>1</v>
      </c>
      <c r="P51" s="451">
        <v>31147.156363636364</v>
      </c>
      <c r="Q51" s="449"/>
      <c r="R51" s="451">
        <f>'52950'!D11</f>
        <v>31440.07</v>
      </c>
      <c r="S51" s="451">
        <v>33315</v>
      </c>
      <c r="T51" s="451">
        <v>33315</v>
      </c>
      <c r="U51" s="872">
        <f>'52950'!D11</f>
        <v>31440.07</v>
      </c>
      <c r="V51" s="450">
        <f>'52950'!C11</f>
        <v>32149</v>
      </c>
      <c r="W51" s="450">
        <f t="shared" si="19"/>
        <v>32149</v>
      </c>
      <c r="X51" s="450">
        <f t="shared" si="12"/>
        <v>-708.93000000000029</v>
      </c>
      <c r="Y51" s="957">
        <f>'52950'!F11</f>
        <v>33362</v>
      </c>
      <c r="Z51" s="1120">
        <f>Y51</f>
        <v>33362</v>
      </c>
      <c r="AA51" s="1053">
        <f>'52950'!G11</f>
        <v>30537.601999999999</v>
      </c>
      <c r="AB51" s="1274">
        <f t="shared" si="9"/>
        <v>2824.398000000001</v>
      </c>
      <c r="AC51" s="527">
        <f t="shared" si="20"/>
        <v>0.91534086685450511</v>
      </c>
      <c r="AD51" s="451">
        <f>'52950'!J11</f>
        <v>33370</v>
      </c>
      <c r="AE51" s="1273"/>
      <c r="AG51" s="1490">
        <f>'52950'!K11</f>
        <v>35753.980000000003</v>
      </c>
      <c r="AH51" s="1488">
        <f t="shared" si="11"/>
        <v>-2383.9800000000032</v>
      </c>
      <c r="AI51" s="526">
        <f>'52950'!M11</f>
        <v>34475</v>
      </c>
      <c r="AJ51" s="1517">
        <f>'52950'!M11</f>
        <v>34475</v>
      </c>
      <c r="AK51" s="1517">
        <f t="shared" si="16"/>
        <v>34475</v>
      </c>
      <c r="AL51" s="955">
        <f>'52950'!N11</f>
        <v>34475</v>
      </c>
      <c r="AM51" s="1489">
        <f t="shared" si="14"/>
        <v>34475</v>
      </c>
      <c r="AN51" s="248">
        <f>'52950'!O11</f>
        <v>35896.19</v>
      </c>
      <c r="AO51" s="763">
        <f>'52950'!S11</f>
        <v>38100</v>
      </c>
    </row>
    <row r="52" spans="1:41" ht="19.5" hidden="1" thickBot="1" x14ac:dyDescent="0.35">
      <c r="A52" s="237"/>
      <c r="B52" s="578" t="s">
        <v>255</v>
      </c>
      <c r="C52" s="579" t="s">
        <v>254</v>
      </c>
      <c r="D52" s="580"/>
      <c r="E52" s="581"/>
      <c r="F52" s="583">
        <f t="shared" si="18"/>
        <v>0</v>
      </c>
      <c r="G52" s="531"/>
      <c r="H52" s="527" t="e">
        <f t="shared" si="15"/>
        <v>#DIV/0!</v>
      </c>
      <c r="I52" s="589"/>
      <c r="J52" s="590"/>
      <c r="K52" s="589"/>
      <c r="L52" s="594"/>
      <c r="M52" s="594"/>
      <c r="N52" s="451"/>
      <c r="O52" s="527">
        <v>0.85856442640204489</v>
      </c>
      <c r="P52" s="451">
        <v>0</v>
      </c>
      <c r="Q52" s="449"/>
      <c r="R52" s="451"/>
      <c r="S52" s="451">
        <v>0</v>
      </c>
      <c r="T52" s="451">
        <v>0</v>
      </c>
      <c r="U52" s="872"/>
      <c r="V52" s="450"/>
      <c r="W52" s="450">
        <f t="shared" si="19"/>
        <v>0</v>
      </c>
      <c r="X52" s="450">
        <f t="shared" si="12"/>
        <v>0</v>
      </c>
      <c r="Y52" s="957"/>
      <c r="Z52" s="1120"/>
      <c r="AA52" s="1053"/>
      <c r="AB52" s="1274">
        <f t="shared" si="9"/>
        <v>0</v>
      </c>
      <c r="AC52" s="527" t="e">
        <f t="shared" si="20"/>
        <v>#DIV/0!</v>
      </c>
      <c r="AD52" s="451"/>
      <c r="AE52" s="1273"/>
      <c r="AG52" s="1490"/>
      <c r="AH52" s="1488">
        <f t="shared" si="11"/>
        <v>0</v>
      </c>
      <c r="AI52" s="526"/>
      <c r="AJ52" s="1517"/>
      <c r="AK52" s="1517">
        <f t="shared" si="16"/>
        <v>0</v>
      </c>
      <c r="AL52" s="955"/>
      <c r="AM52" s="1489">
        <f t="shared" si="14"/>
        <v>0</v>
      </c>
      <c r="AN52" s="248"/>
    </row>
    <row r="53" spans="1:41" ht="19.5" hidden="1" thickBot="1" x14ac:dyDescent="0.35">
      <c r="A53" s="237"/>
      <c r="B53" s="578" t="s">
        <v>253</v>
      </c>
      <c r="C53" s="579" t="s">
        <v>252</v>
      </c>
      <c r="D53" s="580"/>
      <c r="E53" s="581"/>
      <c r="F53" s="583">
        <f t="shared" si="18"/>
        <v>0</v>
      </c>
      <c r="G53" s="531"/>
      <c r="H53" s="527" t="e">
        <f t="shared" si="15"/>
        <v>#DIV/0!</v>
      </c>
      <c r="I53" s="589"/>
      <c r="J53" s="590"/>
      <c r="K53" s="589"/>
      <c r="L53" s="594"/>
      <c r="M53" s="594"/>
      <c r="N53" s="451"/>
      <c r="O53" s="527" t="e">
        <v>#DIV/0!</v>
      </c>
      <c r="P53" s="451">
        <v>0</v>
      </c>
      <c r="Q53" s="449"/>
      <c r="R53" s="451"/>
      <c r="S53" s="451">
        <v>0</v>
      </c>
      <c r="T53" s="451">
        <v>0</v>
      </c>
      <c r="U53" s="872"/>
      <c r="V53" s="450"/>
      <c r="W53" s="450">
        <f t="shared" si="19"/>
        <v>0</v>
      </c>
      <c r="X53" s="450">
        <f t="shared" si="12"/>
        <v>0</v>
      </c>
      <c r="Y53" s="957"/>
      <c r="Z53" s="1120"/>
      <c r="AA53" s="1053"/>
      <c r="AB53" s="1274">
        <f t="shared" si="9"/>
        <v>0</v>
      </c>
      <c r="AC53" s="527" t="e">
        <f t="shared" si="20"/>
        <v>#DIV/0!</v>
      </c>
      <c r="AD53" s="451"/>
      <c r="AE53" s="1273"/>
      <c r="AG53" s="1490"/>
      <c r="AH53" s="1488">
        <f t="shared" si="11"/>
        <v>0</v>
      </c>
      <c r="AI53" s="526"/>
      <c r="AJ53" s="1517"/>
      <c r="AK53" s="1517">
        <f t="shared" si="16"/>
        <v>0</v>
      </c>
      <c r="AL53" s="955"/>
      <c r="AM53" s="1489">
        <f t="shared" si="14"/>
        <v>0</v>
      </c>
      <c r="AN53" s="248"/>
    </row>
    <row r="54" spans="1:41" ht="19.5" hidden="1" thickBot="1" x14ac:dyDescent="0.35">
      <c r="A54" s="237"/>
      <c r="B54" s="578" t="s">
        <v>251</v>
      </c>
      <c r="C54" s="579" t="s">
        <v>250</v>
      </c>
      <c r="D54" s="580"/>
      <c r="E54" s="581"/>
      <c r="F54" s="583">
        <f t="shared" si="18"/>
        <v>0</v>
      </c>
      <c r="G54" s="531"/>
      <c r="H54" s="527" t="e">
        <f t="shared" si="15"/>
        <v>#DIV/0!</v>
      </c>
      <c r="I54" s="589"/>
      <c r="J54" s="590"/>
      <c r="K54" s="589"/>
      <c r="L54" s="594"/>
      <c r="M54" s="594"/>
      <c r="N54" s="451"/>
      <c r="O54" s="527" t="e">
        <v>#DIV/0!</v>
      </c>
      <c r="P54" s="451">
        <v>0</v>
      </c>
      <c r="Q54" s="449"/>
      <c r="R54" s="451"/>
      <c r="S54" s="451">
        <v>0</v>
      </c>
      <c r="T54" s="451">
        <v>0</v>
      </c>
      <c r="U54" s="872"/>
      <c r="V54" s="450"/>
      <c r="W54" s="450">
        <f t="shared" si="19"/>
        <v>0</v>
      </c>
      <c r="X54" s="450">
        <f t="shared" si="12"/>
        <v>0</v>
      </c>
      <c r="Y54" s="957"/>
      <c r="Z54" s="1120"/>
      <c r="AA54" s="1053"/>
      <c r="AB54" s="1274">
        <f t="shared" si="9"/>
        <v>0</v>
      </c>
      <c r="AC54" s="527" t="e">
        <f t="shared" si="20"/>
        <v>#DIV/0!</v>
      </c>
      <c r="AD54" s="451"/>
      <c r="AE54" s="1273"/>
      <c r="AG54" s="1490"/>
      <c r="AH54" s="1488">
        <f t="shared" si="11"/>
        <v>0</v>
      </c>
      <c r="AI54" s="526"/>
      <c r="AJ54" s="1517"/>
      <c r="AK54" s="1517">
        <f t="shared" si="16"/>
        <v>0</v>
      </c>
      <c r="AL54" s="955"/>
      <c r="AM54" s="1489">
        <f t="shared" si="14"/>
        <v>0</v>
      </c>
      <c r="AN54" s="248"/>
    </row>
    <row r="55" spans="1:41" ht="19.5" hidden="1" thickBot="1" x14ac:dyDescent="0.35">
      <c r="A55" s="237"/>
      <c r="B55" s="578" t="s">
        <v>249</v>
      </c>
      <c r="C55" s="579" t="s">
        <v>248</v>
      </c>
      <c r="D55" s="580"/>
      <c r="E55" s="581"/>
      <c r="F55" s="583">
        <f t="shared" si="18"/>
        <v>0</v>
      </c>
      <c r="G55" s="531"/>
      <c r="H55" s="527" t="e">
        <f t="shared" si="15"/>
        <v>#DIV/0!</v>
      </c>
      <c r="I55" s="589"/>
      <c r="J55" s="590"/>
      <c r="K55" s="589"/>
      <c r="L55" s="594"/>
      <c r="M55" s="594"/>
      <c r="N55" s="451"/>
      <c r="O55" s="527" t="e">
        <v>#DIV/0!</v>
      </c>
      <c r="P55" s="451">
        <v>0</v>
      </c>
      <c r="Q55" s="449"/>
      <c r="R55" s="451"/>
      <c r="S55" s="451">
        <v>0</v>
      </c>
      <c r="T55" s="451">
        <v>0</v>
      </c>
      <c r="U55" s="872"/>
      <c r="V55" s="450"/>
      <c r="W55" s="450">
        <f t="shared" si="19"/>
        <v>0</v>
      </c>
      <c r="X55" s="450">
        <f t="shared" si="12"/>
        <v>0</v>
      </c>
      <c r="Y55" s="957"/>
      <c r="Z55" s="1120"/>
      <c r="AA55" s="1053"/>
      <c r="AB55" s="1274">
        <f t="shared" si="9"/>
        <v>0</v>
      </c>
      <c r="AC55" s="527" t="e">
        <f t="shared" si="20"/>
        <v>#DIV/0!</v>
      </c>
      <c r="AD55" s="451"/>
      <c r="AE55" s="1273"/>
      <c r="AG55" s="1490"/>
      <c r="AH55" s="1488">
        <f t="shared" si="11"/>
        <v>0</v>
      </c>
      <c r="AI55" s="526"/>
      <c r="AJ55" s="1517"/>
      <c r="AK55" s="1517">
        <f t="shared" si="16"/>
        <v>0</v>
      </c>
      <c r="AL55" s="955"/>
      <c r="AM55" s="1489">
        <f t="shared" si="14"/>
        <v>0</v>
      </c>
      <c r="AN55" s="248"/>
    </row>
    <row r="56" spans="1:41" ht="19.5" hidden="1" thickBot="1" x14ac:dyDescent="0.35">
      <c r="A56" s="237"/>
      <c r="B56" s="578" t="s">
        <v>247</v>
      </c>
      <c r="C56" s="579" t="s">
        <v>246</v>
      </c>
      <c r="D56" s="580"/>
      <c r="E56" s="581"/>
      <c r="F56" s="583">
        <f t="shared" si="18"/>
        <v>0</v>
      </c>
      <c r="G56" s="531"/>
      <c r="H56" s="527" t="e">
        <f t="shared" si="15"/>
        <v>#DIV/0!</v>
      </c>
      <c r="I56" s="589"/>
      <c r="J56" s="590"/>
      <c r="K56" s="589"/>
      <c r="L56" s="594"/>
      <c r="M56" s="594"/>
      <c r="N56" s="451"/>
      <c r="O56" s="527" t="e">
        <v>#DIV/0!</v>
      </c>
      <c r="P56" s="451">
        <v>0</v>
      </c>
      <c r="Q56" s="449"/>
      <c r="R56" s="451"/>
      <c r="S56" s="451">
        <v>0</v>
      </c>
      <c r="T56" s="451">
        <v>0</v>
      </c>
      <c r="U56" s="872"/>
      <c r="V56" s="450"/>
      <c r="W56" s="450">
        <f t="shared" si="19"/>
        <v>0</v>
      </c>
      <c r="X56" s="450">
        <f t="shared" si="12"/>
        <v>0</v>
      </c>
      <c r="Y56" s="957"/>
      <c r="Z56" s="1120"/>
      <c r="AA56" s="1053"/>
      <c r="AB56" s="1274">
        <f t="shared" si="9"/>
        <v>0</v>
      </c>
      <c r="AC56" s="527" t="e">
        <f t="shared" si="20"/>
        <v>#DIV/0!</v>
      </c>
      <c r="AD56" s="451"/>
      <c r="AE56" s="1273"/>
      <c r="AG56" s="1490"/>
      <c r="AH56" s="1488">
        <f t="shared" si="11"/>
        <v>0</v>
      </c>
      <c r="AI56" s="526"/>
      <c r="AJ56" s="1517"/>
      <c r="AK56" s="1517">
        <f t="shared" si="16"/>
        <v>0</v>
      </c>
      <c r="AL56" s="955"/>
      <c r="AM56" s="1489">
        <f t="shared" si="14"/>
        <v>0</v>
      </c>
      <c r="AN56" s="248"/>
    </row>
    <row r="57" spans="1:41" ht="19.5" hidden="1" thickBot="1" x14ac:dyDescent="0.35">
      <c r="A57" s="237"/>
      <c r="B57" s="578" t="s">
        <v>245</v>
      </c>
      <c r="C57" s="579" t="s">
        <v>244</v>
      </c>
      <c r="D57" s="580"/>
      <c r="E57" s="581"/>
      <c r="F57" s="583">
        <f t="shared" si="18"/>
        <v>0</v>
      </c>
      <c r="G57" s="531"/>
      <c r="H57" s="527" t="e">
        <f t="shared" si="15"/>
        <v>#DIV/0!</v>
      </c>
      <c r="I57" s="589"/>
      <c r="J57" s="590"/>
      <c r="K57" s="589"/>
      <c r="L57" s="594"/>
      <c r="M57" s="594"/>
      <c r="N57" s="451"/>
      <c r="O57" s="527" t="e">
        <v>#DIV/0!</v>
      </c>
      <c r="P57" s="451">
        <v>0</v>
      </c>
      <c r="Q57" s="449"/>
      <c r="R57" s="451"/>
      <c r="S57" s="451">
        <v>0</v>
      </c>
      <c r="T57" s="451">
        <v>0</v>
      </c>
      <c r="U57" s="872"/>
      <c r="V57" s="450"/>
      <c r="W57" s="450">
        <f t="shared" si="19"/>
        <v>0</v>
      </c>
      <c r="X57" s="450">
        <f t="shared" si="12"/>
        <v>0</v>
      </c>
      <c r="Y57" s="957"/>
      <c r="Z57" s="1120"/>
      <c r="AA57" s="1053"/>
      <c r="AB57" s="1274">
        <f t="shared" si="9"/>
        <v>0</v>
      </c>
      <c r="AC57" s="527" t="e">
        <f t="shared" si="20"/>
        <v>#DIV/0!</v>
      </c>
      <c r="AD57" s="451"/>
      <c r="AE57" s="1273"/>
      <c r="AG57" s="1490"/>
      <c r="AH57" s="1488">
        <f t="shared" si="11"/>
        <v>0</v>
      </c>
      <c r="AI57" s="526"/>
      <c r="AJ57" s="1517"/>
      <c r="AK57" s="1517">
        <f t="shared" si="16"/>
        <v>0</v>
      </c>
      <c r="AL57" s="955"/>
      <c r="AM57" s="1489">
        <f t="shared" si="14"/>
        <v>0</v>
      </c>
      <c r="AN57" s="248"/>
    </row>
    <row r="58" spans="1:41" ht="19.5" thickBot="1" x14ac:dyDescent="0.35">
      <c r="A58" s="237"/>
      <c r="B58" s="578" t="s">
        <v>243</v>
      </c>
      <c r="C58" s="579" t="s">
        <v>451</v>
      </c>
      <c r="D58" s="580" t="e">
        <f>'52900'!#REF!</f>
        <v>#REF!</v>
      </c>
      <c r="E58" s="581" t="e">
        <f>'52900'!#REF!</f>
        <v>#REF!</v>
      </c>
      <c r="F58" s="583" t="e">
        <f t="shared" si="18"/>
        <v>#REF!</v>
      </c>
      <c r="G58" s="531" t="e">
        <f>'52900'!#REF!</f>
        <v>#REF!</v>
      </c>
      <c r="H58" s="527" t="e">
        <f t="shared" si="15"/>
        <v>#REF!</v>
      </c>
      <c r="I58" s="589">
        <v>228000</v>
      </c>
      <c r="J58" s="590" t="e">
        <f>'52900'!#REF!</f>
        <v>#REF!</v>
      </c>
      <c r="K58" s="589">
        <v>228000</v>
      </c>
      <c r="L58" s="594">
        <v>228000</v>
      </c>
      <c r="M58" s="594" t="e">
        <f>'52900'!#REF!</f>
        <v>#REF!</v>
      </c>
      <c r="N58" s="451">
        <v>196900</v>
      </c>
      <c r="O58" s="527">
        <f>N58/L58</f>
        <v>0.86359649122807014</v>
      </c>
      <c r="P58" s="451">
        <v>214800</v>
      </c>
      <c r="Q58" s="449"/>
      <c r="R58" s="451" t="e">
        <f>'52900'!#REF!</f>
        <v>#REF!</v>
      </c>
      <c r="S58" s="451">
        <v>214800</v>
      </c>
      <c r="T58" s="451">
        <v>214800</v>
      </c>
      <c r="U58" s="872">
        <f>'52900'!D6</f>
        <v>92400</v>
      </c>
      <c r="V58" s="450">
        <f>'52900'!C6</f>
        <v>141020</v>
      </c>
      <c r="W58" s="450">
        <f t="shared" si="19"/>
        <v>141020</v>
      </c>
      <c r="X58" s="450">
        <f t="shared" si="12"/>
        <v>-48620</v>
      </c>
      <c r="Y58" s="957">
        <f>'52900'!F6</f>
        <v>135000</v>
      </c>
      <c r="Z58" s="1120">
        <f>Y58</f>
        <v>135000</v>
      </c>
      <c r="AA58" s="1053">
        <f>'52900'!G6</f>
        <v>75000</v>
      </c>
      <c r="AB58" s="1274">
        <f t="shared" ref="AB58:AB75" si="21">Z58-AA58</f>
        <v>60000</v>
      </c>
      <c r="AC58" s="527">
        <f t="shared" si="20"/>
        <v>0.55555555555555558</v>
      </c>
      <c r="AD58" s="451">
        <f>'52900'!J5</f>
        <v>225000</v>
      </c>
      <c r="AE58" s="1273"/>
      <c r="AG58" s="1490">
        <f>'52900'!K5</f>
        <v>172500</v>
      </c>
      <c r="AH58" s="1488">
        <f t="shared" si="11"/>
        <v>52500</v>
      </c>
      <c r="AI58" s="526">
        <f>'52900'!M5</f>
        <v>270000</v>
      </c>
      <c r="AJ58" s="935">
        <f>'52900'!N6</f>
        <v>230000</v>
      </c>
      <c r="AK58" s="1517">
        <f t="shared" si="16"/>
        <v>230000</v>
      </c>
      <c r="AL58" s="933">
        <f>'52900'!O6</f>
        <v>285000</v>
      </c>
      <c r="AM58" s="1489">
        <f t="shared" si="14"/>
        <v>285000</v>
      </c>
      <c r="AN58" s="248">
        <v>270000</v>
      </c>
      <c r="AO58" s="763">
        <f>'52900'!S6</f>
        <v>345000</v>
      </c>
    </row>
    <row r="59" spans="1:41" ht="19.5" thickBot="1" x14ac:dyDescent="0.35">
      <c r="A59" s="237"/>
      <c r="B59" s="578" t="s">
        <v>242</v>
      </c>
      <c r="C59" s="579" t="s">
        <v>241</v>
      </c>
      <c r="D59" s="580">
        <f>'55100'!C7</f>
        <v>7320</v>
      </c>
      <c r="E59" s="581">
        <f>'55100'!D7</f>
        <v>7320</v>
      </c>
      <c r="F59" s="583">
        <f t="shared" si="18"/>
        <v>0</v>
      </c>
      <c r="G59" s="531" t="e">
        <f>'55100'!#REF!</f>
        <v>#REF!</v>
      </c>
      <c r="H59" s="527" t="e">
        <f t="shared" si="15"/>
        <v>#REF!</v>
      </c>
      <c r="I59" s="589">
        <v>7320</v>
      </c>
      <c r="J59" s="593">
        <f>'55100'!D5</f>
        <v>7220</v>
      </c>
      <c r="K59" s="589">
        <v>7320</v>
      </c>
      <c r="L59" s="594">
        <v>7320</v>
      </c>
      <c r="M59" s="594">
        <f>'55100'!H7</f>
        <v>6618</v>
      </c>
      <c r="N59" s="451">
        <f>[2]Sheet1!$DI$267</f>
        <v>7219.9199999999992</v>
      </c>
      <c r="O59" s="527">
        <v>0.86359649122807014</v>
      </c>
      <c r="P59" s="451">
        <v>7219.92</v>
      </c>
      <c r="Q59" s="449"/>
      <c r="R59" s="451">
        <f>'55100'!K7</f>
        <v>6137</v>
      </c>
      <c r="S59" s="451">
        <v>0</v>
      </c>
      <c r="T59" s="451">
        <v>0</v>
      </c>
      <c r="U59" s="872"/>
      <c r="V59" s="450"/>
      <c r="W59" s="449"/>
      <c r="X59" s="450">
        <f t="shared" si="12"/>
        <v>0</v>
      </c>
      <c r="Y59" s="957"/>
      <c r="Z59" s="1120"/>
      <c r="AA59" s="1053"/>
      <c r="AB59" s="1274">
        <f t="shared" si="21"/>
        <v>0</v>
      </c>
      <c r="AC59" s="527"/>
      <c r="AD59" s="451"/>
      <c r="AE59" s="1273"/>
      <c r="AG59" s="1490"/>
      <c r="AH59" s="1488">
        <f t="shared" si="11"/>
        <v>0</v>
      </c>
      <c r="AI59" s="526"/>
      <c r="AJ59" s="1517"/>
      <c r="AK59" s="1517">
        <f t="shared" si="16"/>
        <v>0</v>
      </c>
      <c r="AL59" s="955"/>
      <c r="AM59" s="1489">
        <f t="shared" si="14"/>
        <v>0</v>
      </c>
      <c r="AN59" s="248"/>
    </row>
    <row r="60" spans="1:41" ht="19.5" thickBot="1" x14ac:dyDescent="0.35">
      <c r="A60" s="237"/>
      <c r="B60" s="578" t="s">
        <v>240</v>
      </c>
      <c r="C60" s="579" t="s">
        <v>239</v>
      </c>
      <c r="D60" s="580">
        <f>'55200'!C6</f>
        <v>2500</v>
      </c>
      <c r="E60" s="581">
        <f>'55200'!D6</f>
        <v>12500</v>
      </c>
      <c r="F60" s="583">
        <f t="shared" si="18"/>
        <v>10000</v>
      </c>
      <c r="G60" s="531" t="e">
        <f>'55200'!#REF!</f>
        <v>#REF!</v>
      </c>
      <c r="H60" s="527" t="e">
        <f t="shared" si="15"/>
        <v>#REF!</v>
      </c>
      <c r="I60" s="589">
        <v>2500</v>
      </c>
      <c r="J60" s="593">
        <f>'55200'!D6</f>
        <v>12500</v>
      </c>
      <c r="K60" s="594">
        <f>'55200'!D6</f>
        <v>12500</v>
      </c>
      <c r="L60" s="594">
        <v>12500</v>
      </c>
      <c r="M60" s="594">
        <f>'55200'!H6</f>
        <v>12500</v>
      </c>
      <c r="N60" s="451">
        <f>[2]Sheet1!$DI$281</f>
        <v>12500</v>
      </c>
      <c r="O60" s="527">
        <v>0.90413387978142068</v>
      </c>
      <c r="P60" s="451">
        <v>12500</v>
      </c>
      <c r="Q60" s="449"/>
      <c r="R60" s="451">
        <f>'55200'!K6</f>
        <v>10625</v>
      </c>
      <c r="S60" s="451">
        <v>0</v>
      </c>
      <c r="T60" s="451">
        <v>0</v>
      </c>
      <c r="U60" s="872"/>
      <c r="V60" s="450"/>
      <c r="W60" s="449"/>
      <c r="X60" s="450">
        <f t="shared" si="12"/>
        <v>0</v>
      </c>
      <c r="Y60" s="957"/>
      <c r="Z60" s="1120"/>
      <c r="AA60" s="1053"/>
      <c r="AB60" s="1274">
        <f t="shared" si="21"/>
        <v>0</v>
      </c>
      <c r="AC60" s="527"/>
      <c r="AD60" s="451"/>
      <c r="AE60" s="1273"/>
      <c r="AG60" s="1490"/>
      <c r="AH60" s="1488">
        <f t="shared" si="11"/>
        <v>0</v>
      </c>
      <c r="AI60" s="526"/>
      <c r="AJ60" s="1517"/>
      <c r="AK60" s="1517">
        <f t="shared" si="16"/>
        <v>0</v>
      </c>
      <c r="AL60" s="955"/>
      <c r="AM60" s="1489">
        <f t="shared" si="14"/>
        <v>0</v>
      </c>
      <c r="AN60" s="248"/>
    </row>
    <row r="61" spans="1:41" ht="19.5" thickBot="1" x14ac:dyDescent="0.35">
      <c r="A61" s="237"/>
      <c r="B61" s="578" t="s">
        <v>452</v>
      </c>
      <c r="C61" s="579" t="s">
        <v>453</v>
      </c>
      <c r="D61" s="580" t="e">
        <f>#REF!</f>
        <v>#REF!</v>
      </c>
      <c r="E61" s="581" t="e">
        <f>#REF!</f>
        <v>#REF!</v>
      </c>
      <c r="F61" s="583" t="e">
        <f t="shared" si="18"/>
        <v>#REF!</v>
      </c>
      <c r="G61" s="531" t="e">
        <f>#REF!</f>
        <v>#REF!</v>
      </c>
      <c r="H61" s="527" t="e">
        <f t="shared" si="15"/>
        <v>#REF!</v>
      </c>
      <c r="I61" s="589">
        <v>12900</v>
      </c>
      <c r="J61" s="593" t="e">
        <f>#REF!</f>
        <v>#REF!</v>
      </c>
      <c r="K61" s="594" t="e">
        <f>#REF!</f>
        <v>#REF!</v>
      </c>
      <c r="L61" s="594">
        <v>32700</v>
      </c>
      <c r="M61" s="594" t="e">
        <f>#REF!</f>
        <v>#REF!</v>
      </c>
      <c r="N61" s="451">
        <f>[2]Sheet1!$DI$295</f>
        <v>33070.399999999994</v>
      </c>
      <c r="O61" s="527">
        <v>1</v>
      </c>
      <c r="P61" s="451">
        <f>L61</f>
        <v>32700</v>
      </c>
      <c r="Q61" s="449"/>
      <c r="R61" s="451" t="e">
        <f>#REF!</f>
        <v>#REF!</v>
      </c>
      <c r="S61" s="451" t="e">
        <f>#REF!</f>
        <v>#REF!</v>
      </c>
      <c r="T61" s="451">
        <v>26700</v>
      </c>
      <c r="U61" s="872" t="e">
        <f>#REF!</f>
        <v>#REF!</v>
      </c>
      <c r="V61" s="450" t="e">
        <f>#REF!</f>
        <v>#REF!</v>
      </c>
      <c r="W61" s="450" t="e">
        <f t="shared" ref="W61:W72" si="22">V61</f>
        <v>#REF!</v>
      </c>
      <c r="X61" s="450" t="e">
        <f t="shared" si="12"/>
        <v>#REF!</v>
      </c>
      <c r="Y61" s="957" t="e">
        <f>#REF!</f>
        <v>#REF!</v>
      </c>
      <c r="Z61" s="1120"/>
      <c r="AA61" s="1053"/>
      <c r="AB61" s="1274">
        <f t="shared" si="21"/>
        <v>0</v>
      </c>
      <c r="AC61" s="527"/>
      <c r="AD61" s="451"/>
      <c r="AE61" s="1273"/>
      <c r="AG61" s="1490"/>
      <c r="AH61" s="1488">
        <f t="shared" si="11"/>
        <v>0</v>
      </c>
      <c r="AI61" s="526"/>
      <c r="AJ61" s="1517">
        <f>'55450'!F6</f>
        <v>32000</v>
      </c>
      <c r="AK61" s="1517">
        <f t="shared" si="16"/>
        <v>32000</v>
      </c>
      <c r="AL61" s="933">
        <f>'55450'!G6</f>
        <v>32000</v>
      </c>
      <c r="AM61" s="1547">
        <f>'55450'!H6</f>
        <v>45000</v>
      </c>
      <c r="AN61" s="1549">
        <v>22500</v>
      </c>
      <c r="AO61" s="763">
        <f>'55450'!K6</f>
        <v>45000</v>
      </c>
    </row>
    <row r="62" spans="1:41" ht="19.5" thickBot="1" x14ac:dyDescent="0.35">
      <c r="A62" s="237"/>
      <c r="B62" s="578" t="s">
        <v>454</v>
      </c>
      <c r="C62" s="579" t="s">
        <v>455</v>
      </c>
      <c r="D62" s="580" t="e">
        <f>#REF!</f>
        <v>#REF!</v>
      </c>
      <c r="E62" s="581" t="e">
        <f>#REF!</f>
        <v>#REF!</v>
      </c>
      <c r="F62" s="583" t="e">
        <f t="shared" si="18"/>
        <v>#REF!</v>
      </c>
      <c r="G62" s="531" t="e">
        <f>#REF!</f>
        <v>#REF!</v>
      </c>
      <c r="H62" s="527" t="e">
        <f t="shared" si="15"/>
        <v>#REF!</v>
      </c>
      <c r="I62" s="589">
        <v>13000</v>
      </c>
      <c r="J62" s="593" t="e">
        <f>#REF!</f>
        <v>#REF!</v>
      </c>
      <c r="K62" s="589">
        <v>13000</v>
      </c>
      <c r="L62" s="594">
        <v>16200</v>
      </c>
      <c r="M62" s="594" t="e">
        <f>#REF!</f>
        <v>#REF!</v>
      </c>
      <c r="N62" s="451">
        <v>12000</v>
      </c>
      <c r="O62" s="527">
        <v>0.92671957186544329</v>
      </c>
      <c r="P62" s="451">
        <v>12000</v>
      </c>
      <c r="Q62" s="449"/>
      <c r="R62" s="451" t="e">
        <f>#REF!</f>
        <v>#REF!</v>
      </c>
      <c r="S62" s="451">
        <v>0</v>
      </c>
      <c r="T62" s="451">
        <v>0</v>
      </c>
      <c r="U62" s="872"/>
      <c r="V62" s="450"/>
      <c r="W62" s="449"/>
      <c r="X62" s="450">
        <f t="shared" si="12"/>
        <v>0</v>
      </c>
      <c r="Y62" s="957"/>
      <c r="Z62" s="1120"/>
      <c r="AA62" s="1053"/>
      <c r="AB62" s="1274">
        <f t="shared" si="21"/>
        <v>0</v>
      </c>
      <c r="AC62" s="527"/>
      <c r="AD62" s="451"/>
      <c r="AE62" s="1273"/>
      <c r="AG62" s="1490"/>
      <c r="AH62" s="1488">
        <f t="shared" si="11"/>
        <v>0</v>
      </c>
      <c r="AI62" s="526"/>
      <c r="AJ62" s="1517"/>
      <c r="AK62" s="1517">
        <f t="shared" si="16"/>
        <v>0</v>
      </c>
      <c r="AL62" s="955"/>
      <c r="AM62" s="1489">
        <f t="shared" si="14"/>
        <v>0</v>
      </c>
      <c r="AN62" s="248"/>
    </row>
    <row r="63" spans="1:41" ht="20.25" thickBot="1" x14ac:dyDescent="0.4">
      <c r="A63" s="237"/>
      <c r="B63" s="578" t="s">
        <v>456</v>
      </c>
      <c r="C63" s="579" t="s">
        <v>825</v>
      </c>
      <c r="D63" s="580" t="e">
        <f>#REF!</f>
        <v>#REF!</v>
      </c>
      <c r="E63" s="581" t="e">
        <f>#REF!</f>
        <v>#REF!</v>
      </c>
      <c r="F63" s="583" t="e">
        <f t="shared" si="18"/>
        <v>#REF!</v>
      </c>
      <c r="G63" s="531" t="e">
        <f>#REF!</f>
        <v>#REF!</v>
      </c>
      <c r="H63" s="527" t="e">
        <f t="shared" si="15"/>
        <v>#REF!</v>
      </c>
      <c r="I63" s="594" t="e">
        <f>#REF!</f>
        <v>#REF!</v>
      </c>
      <c r="J63" s="593" t="e">
        <f>#REF!</f>
        <v>#REF!</v>
      </c>
      <c r="K63" s="596" t="e">
        <f>#REF!</f>
        <v>#REF!</v>
      </c>
      <c r="L63" s="596">
        <v>23946</v>
      </c>
      <c r="M63" s="596" t="e">
        <f>#REF!</f>
        <v>#REF!</v>
      </c>
      <c r="N63" s="451">
        <f>[2]Sheet1!$DI$323</f>
        <v>24431.434999999994</v>
      </c>
      <c r="O63" s="527">
        <v>0.7407407407407407</v>
      </c>
      <c r="P63" s="451">
        <v>23476.243636363633</v>
      </c>
      <c r="Q63" s="449"/>
      <c r="R63" s="451" t="e">
        <f>#REF!</f>
        <v>#REF!</v>
      </c>
      <c r="S63" s="451" t="e">
        <f>#REF!</f>
        <v>#REF!</v>
      </c>
      <c r="T63" s="451">
        <v>23935</v>
      </c>
      <c r="U63" s="872" t="e">
        <f>#REF!</f>
        <v>#REF!</v>
      </c>
      <c r="V63" s="450" t="e">
        <f>#REF!</f>
        <v>#REF!</v>
      </c>
      <c r="W63" s="450" t="e">
        <f t="shared" si="22"/>
        <v>#REF!</v>
      </c>
      <c r="X63" s="450" t="e">
        <f t="shared" si="12"/>
        <v>#REF!</v>
      </c>
      <c r="Y63" s="957" t="e">
        <f>#REF!</f>
        <v>#REF!</v>
      </c>
      <c r="Z63" s="1120"/>
      <c r="AA63" s="1053"/>
      <c r="AB63" s="1274">
        <f t="shared" si="21"/>
        <v>0</v>
      </c>
      <c r="AC63" s="527"/>
      <c r="AD63" s="451"/>
      <c r="AE63" s="1273"/>
      <c r="AG63" s="1490"/>
      <c r="AH63" s="1488">
        <f t="shared" si="11"/>
        <v>0</v>
      </c>
      <c r="AI63" s="526"/>
      <c r="AJ63" s="935"/>
      <c r="AK63" s="1517">
        <f t="shared" si="16"/>
        <v>0</v>
      </c>
      <c r="AL63" s="955"/>
      <c r="AM63" s="1489">
        <f t="shared" si="14"/>
        <v>0</v>
      </c>
      <c r="AN63" s="248"/>
    </row>
    <row r="64" spans="1:41" ht="19.5" customHeight="1" thickBot="1" x14ac:dyDescent="0.4">
      <c r="A64" s="237"/>
      <c r="B64" s="578" t="s">
        <v>238</v>
      </c>
      <c r="C64" s="579" t="s">
        <v>237</v>
      </c>
      <c r="D64" s="580" t="e">
        <f>'56300'!#REF!</f>
        <v>#REF!</v>
      </c>
      <c r="E64" s="581" t="e">
        <f>'56300'!#REF!</f>
        <v>#REF!</v>
      </c>
      <c r="F64" s="583" t="e">
        <f t="shared" si="18"/>
        <v>#REF!</v>
      </c>
      <c r="G64" s="531" t="e">
        <f>'56300'!#REF!</f>
        <v>#REF!</v>
      </c>
      <c r="H64" s="527" t="e">
        <f t="shared" si="15"/>
        <v>#REF!</v>
      </c>
      <c r="I64" s="589">
        <v>100330</v>
      </c>
      <c r="J64" s="590" t="e">
        <f>'56300'!#REF!</f>
        <v>#REF!</v>
      </c>
      <c r="K64" s="595" t="e">
        <f>'56300'!#REF!</f>
        <v>#REF!</v>
      </c>
      <c r="L64" s="596">
        <v>146728</v>
      </c>
      <c r="M64" s="596" t="e">
        <f>'56300'!#REF!</f>
        <v>#REF!</v>
      </c>
      <c r="N64" s="451">
        <f>[2]Sheet1!$DI$338</f>
        <v>133231.47099999999</v>
      </c>
      <c r="O64" s="527">
        <v>0.89868412260920383</v>
      </c>
      <c r="P64" s="451">
        <v>131014.4181818182</v>
      </c>
      <c r="Q64" s="449"/>
      <c r="R64" s="451" t="e">
        <f>'56300'!#REF!</f>
        <v>#REF!</v>
      </c>
      <c r="S64" s="451" t="e">
        <f>'56300'!#REF!</f>
        <v>#REF!</v>
      </c>
      <c r="T64" s="451" t="e">
        <f>'56300'!#REF!</f>
        <v>#REF!</v>
      </c>
      <c r="U64" s="872">
        <f>'56300'!D27</f>
        <v>81758.8</v>
      </c>
      <c r="V64" s="450">
        <f>'56300'!C27</f>
        <v>88090</v>
      </c>
      <c r="W64" s="891">
        <f>'56300'!E27</f>
        <v>6331.2</v>
      </c>
      <c r="X64" s="450">
        <f t="shared" si="12"/>
        <v>-6331.1999999999971</v>
      </c>
      <c r="Y64" s="957">
        <f>'56300'!F27</f>
        <v>103678</v>
      </c>
      <c r="Z64" s="1171">
        <f>'56300'!G27</f>
        <v>104113.11</v>
      </c>
      <c r="AA64" s="1053">
        <f>'56300'!H27</f>
        <v>87984.741999999998</v>
      </c>
      <c r="AB64" s="1274">
        <f t="shared" si="21"/>
        <v>16128.368000000002</v>
      </c>
      <c r="AC64" s="527">
        <f>AA64/Z64</f>
        <v>0.84508802013502426</v>
      </c>
      <c r="AD64" s="451">
        <f>'56300'!K27</f>
        <v>14266</v>
      </c>
      <c r="AE64" s="1273">
        <v>-85650</v>
      </c>
      <c r="AF64" s="698" t="s">
        <v>920</v>
      </c>
      <c r="AG64" s="1490"/>
      <c r="AH64" s="1488">
        <f t="shared" si="11"/>
        <v>14266</v>
      </c>
      <c r="AI64" s="526"/>
      <c r="AJ64" s="935">
        <f>'56300'!L27</f>
        <v>35174</v>
      </c>
      <c r="AK64" s="935">
        <f>'56300'!M27</f>
        <v>10000</v>
      </c>
      <c r="AL64" s="933">
        <f>'56300'!N27</f>
        <v>10000</v>
      </c>
      <c r="AM64" s="1548">
        <f>'56300'!O27</f>
        <v>64287</v>
      </c>
      <c r="AN64" s="1610">
        <v>41930</v>
      </c>
      <c r="AO64" s="763">
        <f>'56300'!R27</f>
        <v>70585</v>
      </c>
    </row>
    <row r="65" spans="1:41" ht="19.5" hidden="1" thickBot="1" x14ac:dyDescent="0.35">
      <c r="A65" s="237"/>
      <c r="B65" s="578" t="s">
        <v>236</v>
      </c>
      <c r="C65" s="579" t="s">
        <v>235</v>
      </c>
      <c r="D65" s="580"/>
      <c r="E65" s="581"/>
      <c r="F65" s="583">
        <f t="shared" si="18"/>
        <v>0</v>
      </c>
      <c r="G65" s="531"/>
      <c r="H65" s="527" t="e">
        <f t="shared" si="15"/>
        <v>#DIV/0!</v>
      </c>
      <c r="I65" s="589"/>
      <c r="J65" s="590"/>
      <c r="K65" s="589"/>
      <c r="L65" s="594"/>
      <c r="M65" s="594"/>
      <c r="N65" s="451"/>
      <c r="O65" s="527">
        <v>0.81849783272449717</v>
      </c>
      <c r="P65" s="451">
        <v>0</v>
      </c>
      <c r="Q65" s="449"/>
      <c r="R65" s="451"/>
      <c r="S65" s="451">
        <v>0</v>
      </c>
      <c r="T65" s="451">
        <v>0</v>
      </c>
      <c r="U65" s="872"/>
      <c r="V65" s="450"/>
      <c r="W65" s="450">
        <f t="shared" si="22"/>
        <v>0</v>
      </c>
      <c r="X65" s="450">
        <f t="shared" si="12"/>
        <v>0</v>
      </c>
      <c r="Y65" s="957"/>
      <c r="Z65" s="1120"/>
      <c r="AA65" s="1053"/>
      <c r="AB65" s="1274">
        <f t="shared" si="21"/>
        <v>0</v>
      </c>
      <c r="AC65" s="527" t="e">
        <f>AA65/Z65</f>
        <v>#DIV/0!</v>
      </c>
      <c r="AD65" s="451"/>
      <c r="AE65" s="1273"/>
      <c r="AG65" s="1490"/>
      <c r="AH65" s="1488">
        <f t="shared" si="11"/>
        <v>0</v>
      </c>
      <c r="AI65" s="526"/>
      <c r="AJ65" s="1517"/>
      <c r="AK65" s="1517">
        <f t="shared" si="16"/>
        <v>0</v>
      </c>
      <c r="AL65" s="955"/>
      <c r="AM65" s="1489">
        <f t="shared" si="14"/>
        <v>0</v>
      </c>
      <c r="AN65" s="248"/>
    </row>
    <row r="66" spans="1:41" ht="19.5" hidden="1" thickBot="1" x14ac:dyDescent="0.35">
      <c r="A66" s="237"/>
      <c r="B66" s="578" t="s">
        <v>234</v>
      </c>
      <c r="C66" s="579" t="s">
        <v>233</v>
      </c>
      <c r="D66" s="580"/>
      <c r="E66" s="581"/>
      <c r="F66" s="583">
        <f t="shared" si="18"/>
        <v>0</v>
      </c>
      <c r="G66" s="531"/>
      <c r="H66" s="527" t="e">
        <f t="shared" si="15"/>
        <v>#DIV/0!</v>
      </c>
      <c r="I66" s="589"/>
      <c r="J66" s="590"/>
      <c r="K66" s="589"/>
      <c r="L66" s="594"/>
      <c r="M66" s="594"/>
      <c r="N66" s="451"/>
      <c r="O66" s="527" t="e">
        <v>#DIV/0!</v>
      </c>
      <c r="P66" s="451">
        <v>0</v>
      </c>
      <c r="Q66" s="449"/>
      <c r="R66" s="451"/>
      <c r="S66" s="451">
        <v>0</v>
      </c>
      <c r="T66" s="451">
        <v>0</v>
      </c>
      <c r="U66" s="872"/>
      <c r="V66" s="450"/>
      <c r="W66" s="450">
        <f t="shared" si="22"/>
        <v>0</v>
      </c>
      <c r="X66" s="450">
        <f t="shared" si="12"/>
        <v>0</v>
      </c>
      <c r="Y66" s="957"/>
      <c r="Z66" s="1120"/>
      <c r="AA66" s="1053"/>
      <c r="AB66" s="1274">
        <f t="shared" si="21"/>
        <v>0</v>
      </c>
      <c r="AC66" s="527" t="e">
        <f>AA66/Z66</f>
        <v>#DIV/0!</v>
      </c>
      <c r="AD66" s="451"/>
      <c r="AE66" s="1273"/>
      <c r="AG66" s="1490"/>
      <c r="AH66" s="1488">
        <f t="shared" si="11"/>
        <v>0</v>
      </c>
      <c r="AI66" s="526"/>
      <c r="AJ66" s="1517"/>
      <c r="AK66" s="1517">
        <f t="shared" si="16"/>
        <v>0</v>
      </c>
      <c r="AL66" s="955"/>
      <c r="AM66" s="1489">
        <f t="shared" si="14"/>
        <v>0</v>
      </c>
      <c r="AN66" s="248"/>
    </row>
    <row r="67" spans="1:41" ht="19.5" hidden="1" thickBot="1" x14ac:dyDescent="0.35">
      <c r="A67" s="237"/>
      <c r="B67" s="578" t="s">
        <v>232</v>
      </c>
      <c r="C67" s="579" t="s">
        <v>231</v>
      </c>
      <c r="D67" s="580"/>
      <c r="E67" s="581"/>
      <c r="F67" s="583">
        <f t="shared" si="18"/>
        <v>0</v>
      </c>
      <c r="G67" s="531"/>
      <c r="H67" s="527" t="e">
        <f t="shared" si="15"/>
        <v>#DIV/0!</v>
      </c>
      <c r="I67" s="589"/>
      <c r="J67" s="590"/>
      <c r="K67" s="589"/>
      <c r="L67" s="594"/>
      <c r="M67" s="594"/>
      <c r="N67" s="451"/>
      <c r="O67" s="527" t="e">
        <v>#DIV/0!</v>
      </c>
      <c r="P67" s="451">
        <v>0</v>
      </c>
      <c r="Q67" s="449"/>
      <c r="R67" s="451"/>
      <c r="S67" s="451">
        <v>0</v>
      </c>
      <c r="T67" s="451">
        <v>0</v>
      </c>
      <c r="U67" s="872"/>
      <c r="V67" s="450"/>
      <c r="W67" s="450">
        <f t="shared" si="22"/>
        <v>0</v>
      </c>
      <c r="X67" s="450">
        <f t="shared" si="12"/>
        <v>0</v>
      </c>
      <c r="Y67" s="957"/>
      <c r="Z67" s="1120"/>
      <c r="AA67" s="1053"/>
      <c r="AB67" s="1274">
        <f t="shared" si="21"/>
        <v>0</v>
      </c>
      <c r="AC67" s="527" t="e">
        <f>AA67/Z67</f>
        <v>#DIV/0!</v>
      </c>
      <c r="AD67" s="451"/>
      <c r="AE67" s="1273"/>
      <c r="AG67" s="1490"/>
      <c r="AH67" s="1488">
        <f t="shared" si="11"/>
        <v>0</v>
      </c>
      <c r="AI67" s="526"/>
      <c r="AJ67" s="1517"/>
      <c r="AK67" s="1517">
        <f t="shared" si="16"/>
        <v>0</v>
      </c>
      <c r="AL67" s="955"/>
      <c r="AM67" s="1489">
        <f t="shared" si="14"/>
        <v>0</v>
      </c>
      <c r="AN67" s="248"/>
    </row>
    <row r="68" spans="1:41" ht="19.5" hidden="1" thickBot="1" x14ac:dyDescent="0.35">
      <c r="A68" s="237"/>
      <c r="B68" s="578" t="s">
        <v>230</v>
      </c>
      <c r="C68" s="579" t="s">
        <v>229</v>
      </c>
      <c r="D68" s="580"/>
      <c r="E68" s="581"/>
      <c r="F68" s="583">
        <f t="shared" si="18"/>
        <v>0</v>
      </c>
      <c r="G68" s="531"/>
      <c r="H68" s="527" t="e">
        <f t="shared" si="15"/>
        <v>#DIV/0!</v>
      </c>
      <c r="I68" s="589"/>
      <c r="J68" s="590"/>
      <c r="K68" s="589"/>
      <c r="L68" s="594"/>
      <c r="M68" s="594"/>
      <c r="N68" s="451"/>
      <c r="O68" s="527" t="e">
        <v>#DIV/0!</v>
      </c>
      <c r="P68" s="451">
        <v>0</v>
      </c>
      <c r="Q68" s="449"/>
      <c r="R68" s="451"/>
      <c r="S68" s="451">
        <v>0</v>
      </c>
      <c r="T68" s="451">
        <v>0</v>
      </c>
      <c r="U68" s="872"/>
      <c r="V68" s="450"/>
      <c r="W68" s="450">
        <f t="shared" si="22"/>
        <v>0</v>
      </c>
      <c r="X68" s="450">
        <f t="shared" si="12"/>
        <v>0</v>
      </c>
      <c r="Y68" s="957"/>
      <c r="Z68" s="1120"/>
      <c r="AA68" s="1053"/>
      <c r="AB68" s="1274">
        <f t="shared" si="21"/>
        <v>0</v>
      </c>
      <c r="AC68" s="527" t="e">
        <f>AA68/Z68</f>
        <v>#DIV/0!</v>
      </c>
      <c r="AD68" s="451"/>
      <c r="AE68" s="1273"/>
      <c r="AG68" s="1490"/>
      <c r="AH68" s="1488">
        <f t="shared" si="11"/>
        <v>0</v>
      </c>
      <c r="AI68" s="526"/>
      <c r="AJ68" s="1517"/>
      <c r="AK68" s="1517">
        <f t="shared" si="16"/>
        <v>0</v>
      </c>
      <c r="AL68" s="955"/>
      <c r="AM68" s="1489">
        <f t="shared" si="14"/>
        <v>0</v>
      </c>
      <c r="AN68" s="248"/>
    </row>
    <row r="69" spans="1:41" ht="19.5" thickBot="1" x14ac:dyDescent="0.35">
      <c r="A69" s="237"/>
      <c r="B69" s="578" t="s">
        <v>457</v>
      </c>
      <c r="C69" s="579" t="s">
        <v>458</v>
      </c>
      <c r="D69" s="580" t="e">
        <f>'57000'!#REF!</f>
        <v>#REF!</v>
      </c>
      <c r="E69" s="581" t="e">
        <f>'57000'!#REF!</f>
        <v>#REF!</v>
      </c>
      <c r="F69" s="583" t="e">
        <f t="shared" si="18"/>
        <v>#REF!</v>
      </c>
      <c r="G69" s="531" t="e">
        <f>'57000'!#REF!</f>
        <v>#REF!</v>
      </c>
      <c r="H69" s="527" t="e">
        <f t="shared" si="15"/>
        <v>#REF!</v>
      </c>
      <c r="I69" s="589">
        <v>8050</v>
      </c>
      <c r="J69" s="593" t="e">
        <f>'57000'!#REF!+5000</f>
        <v>#REF!</v>
      </c>
      <c r="K69" s="594" t="e">
        <f>'57000'!#REF!</f>
        <v>#REF!</v>
      </c>
      <c r="L69" s="594">
        <v>22350</v>
      </c>
      <c r="M69" s="594" t="e">
        <f>'57000'!#REF!</f>
        <v>#REF!</v>
      </c>
      <c r="N69" s="451">
        <f>[2]Sheet1!$DI$353</f>
        <v>9650</v>
      </c>
      <c r="O69" s="527">
        <f>N69/L69</f>
        <v>0.43176733780760629</v>
      </c>
      <c r="P69" s="451">
        <v>10527.272727272728</v>
      </c>
      <c r="Q69" s="449"/>
      <c r="R69" s="451" t="e">
        <f>'57000'!#REF!</f>
        <v>#REF!</v>
      </c>
      <c r="S69" s="451">
        <v>0</v>
      </c>
      <c r="T69" s="890">
        <v>1500</v>
      </c>
      <c r="U69" s="872"/>
      <c r="V69" s="450"/>
      <c r="W69" s="450"/>
      <c r="X69" s="450"/>
      <c r="Y69" s="957"/>
      <c r="Z69" s="1120"/>
      <c r="AA69" s="1053"/>
      <c r="AB69" s="1274">
        <f t="shared" si="21"/>
        <v>0</v>
      </c>
      <c r="AC69" s="527"/>
      <c r="AD69" s="451"/>
      <c r="AE69" s="1273"/>
      <c r="AG69" s="1490"/>
      <c r="AH69" s="1488">
        <f t="shared" si="11"/>
        <v>0</v>
      </c>
      <c r="AI69" s="526"/>
      <c r="AJ69" s="1517">
        <f>'57000'!D12</f>
        <v>1000</v>
      </c>
      <c r="AK69" s="1517">
        <f t="shared" si="16"/>
        <v>1000</v>
      </c>
      <c r="AL69" s="933">
        <f>'57000'!E12</f>
        <v>0</v>
      </c>
      <c r="AM69" s="1489">
        <f t="shared" si="14"/>
        <v>0</v>
      </c>
      <c r="AN69" s="248"/>
    </row>
    <row r="70" spans="1:41" s="698" customFormat="1" ht="27" customHeight="1" thickBot="1" x14ac:dyDescent="0.4">
      <c r="A70" s="684"/>
      <c r="B70" s="685" t="s">
        <v>228</v>
      </c>
      <c r="C70" s="686" t="s">
        <v>227</v>
      </c>
      <c r="D70" s="687" t="e">
        <f>'57100'!#REF!</f>
        <v>#REF!</v>
      </c>
      <c r="E70" s="688" t="e">
        <f>'57100'!#REF!</f>
        <v>#REF!</v>
      </c>
      <c r="F70" s="689" t="e">
        <f t="shared" si="18"/>
        <v>#REF!</v>
      </c>
      <c r="G70" s="690" t="e">
        <f>'57100'!#REF!</f>
        <v>#REF!</v>
      </c>
      <c r="H70" s="691" t="e">
        <f t="shared" si="15"/>
        <v>#REF!</v>
      </c>
      <c r="I70" s="692" t="e">
        <f>'57100'!#REF!</f>
        <v>#REF!</v>
      </c>
      <c r="J70" s="693" t="e">
        <f>'57100'!#REF!</f>
        <v>#REF!</v>
      </c>
      <c r="K70" s="694" t="e">
        <f>'57100'!#REF!</f>
        <v>#REF!</v>
      </c>
      <c r="L70" s="694">
        <v>117401</v>
      </c>
      <c r="M70" s="694" t="e">
        <f>'57100'!#REF!</f>
        <v>#REF!</v>
      </c>
      <c r="N70" s="695">
        <f>[2]Sheet1!$DI$367</f>
        <v>106376.01800000001</v>
      </c>
      <c r="O70" s="691">
        <v>0.43176733780760629</v>
      </c>
      <c r="P70" s="695">
        <v>111142.84363636364</v>
      </c>
      <c r="Q70" s="696"/>
      <c r="R70" s="695" t="e">
        <f>'57100'!#REF!</f>
        <v>#REF!</v>
      </c>
      <c r="S70" s="697">
        <v>26004</v>
      </c>
      <c r="T70" s="451">
        <v>26004</v>
      </c>
      <c r="U70" s="892">
        <f>'57100'!D15</f>
        <v>18404.120000000003</v>
      </c>
      <c r="V70" s="893">
        <f>'57100'!C15</f>
        <v>15674</v>
      </c>
      <c r="W70" s="891"/>
      <c r="X70" s="450">
        <f>U70-V70</f>
        <v>2730.1200000000026</v>
      </c>
      <c r="Y70" s="1036">
        <f>'57100'!F15</f>
        <v>29707</v>
      </c>
      <c r="Z70" s="1122">
        <f>Y70</f>
        <v>29707</v>
      </c>
      <c r="AA70" s="1053">
        <f>'57100'!G15</f>
        <v>19370.998</v>
      </c>
      <c r="AB70" s="1274">
        <f t="shared" si="21"/>
        <v>10336.002</v>
      </c>
      <c r="AC70" s="527">
        <f>AA70/Z70</f>
        <v>0.65206846871107815</v>
      </c>
      <c r="AD70" s="695">
        <f>'57100'!K15</f>
        <v>33707</v>
      </c>
      <c r="AE70" s="1275">
        <v>10000</v>
      </c>
      <c r="AF70" s="1261" t="s">
        <v>919</v>
      </c>
      <c r="AG70" s="1492">
        <f>'57100'!M15</f>
        <v>19476.07</v>
      </c>
      <c r="AH70" s="1488">
        <f t="shared" si="11"/>
        <v>14230.93</v>
      </c>
      <c r="AI70" s="697">
        <f>'52950'!M11</f>
        <v>34475</v>
      </c>
      <c r="AJ70" s="1518">
        <f>'57100'!P15</f>
        <v>25913</v>
      </c>
      <c r="AK70" s="1517">
        <f t="shared" si="16"/>
        <v>25913</v>
      </c>
      <c r="AL70" s="1493">
        <f>'57100'!Q15</f>
        <v>25913</v>
      </c>
      <c r="AM70" s="1489">
        <f>'57100'!R15</f>
        <v>16957</v>
      </c>
      <c r="AN70" s="248">
        <v>16957</v>
      </c>
      <c r="AO70" s="1623">
        <f>'57100'!V15</f>
        <v>16957</v>
      </c>
    </row>
    <row r="71" spans="1:41" ht="19.5" hidden="1" thickBot="1" x14ac:dyDescent="0.35">
      <c r="A71" s="237"/>
      <c r="B71" s="578" t="s">
        <v>226</v>
      </c>
      <c r="C71" s="579" t="s">
        <v>225</v>
      </c>
      <c r="D71" s="580"/>
      <c r="E71" s="581"/>
      <c r="F71" s="583">
        <f t="shared" si="18"/>
        <v>0</v>
      </c>
      <c r="G71" s="531"/>
      <c r="H71" s="527" t="e">
        <f t="shared" si="15"/>
        <v>#DIV/0!</v>
      </c>
      <c r="I71" s="589"/>
      <c r="J71" s="590"/>
      <c r="K71" s="589"/>
      <c r="L71" s="594"/>
      <c r="M71" s="594"/>
      <c r="N71" s="451"/>
      <c r="O71" s="527">
        <v>0.86780299997444654</v>
      </c>
      <c r="P71" s="451">
        <v>0</v>
      </c>
      <c r="Q71" s="449"/>
      <c r="R71" s="451"/>
      <c r="S71" s="451">
        <v>0</v>
      </c>
      <c r="T71" s="451">
        <v>0</v>
      </c>
      <c r="U71" s="872"/>
      <c r="V71" s="450"/>
      <c r="W71" s="450">
        <f t="shared" si="22"/>
        <v>0</v>
      </c>
      <c r="X71" s="450">
        <f t="shared" si="12"/>
        <v>0</v>
      </c>
      <c r="Y71" s="957"/>
      <c r="Z71" s="1120"/>
      <c r="AA71" s="1053"/>
      <c r="AB71" s="1274">
        <f t="shared" si="21"/>
        <v>0</v>
      </c>
      <c r="AC71" s="527" t="e">
        <f>AA71/Z71</f>
        <v>#DIV/0!</v>
      </c>
      <c r="AD71" s="451"/>
      <c r="AE71" s="1273"/>
      <c r="AG71" s="1490"/>
      <c r="AH71" s="1488">
        <f t="shared" si="11"/>
        <v>0</v>
      </c>
      <c r="AI71" s="526"/>
      <c r="AJ71" s="1517"/>
      <c r="AK71" s="1517">
        <f t="shared" si="16"/>
        <v>0</v>
      </c>
      <c r="AL71" s="955"/>
      <c r="AM71" s="1489">
        <f t="shared" si="14"/>
        <v>0</v>
      </c>
      <c r="AN71" s="248"/>
    </row>
    <row r="72" spans="1:41" ht="19.5" thickBot="1" x14ac:dyDescent="0.35">
      <c r="A72" s="237"/>
      <c r="B72" s="578" t="s">
        <v>224</v>
      </c>
      <c r="C72" s="579" t="s">
        <v>461</v>
      </c>
      <c r="D72" s="580">
        <f>'58100'!C10</f>
        <v>0</v>
      </c>
      <c r="E72" s="581">
        <f>'58100'!D10</f>
        <v>0</v>
      </c>
      <c r="F72" s="583">
        <f t="shared" si="18"/>
        <v>0</v>
      </c>
      <c r="G72" s="531" t="e">
        <f>'58100'!#REF!</f>
        <v>#REF!</v>
      </c>
      <c r="H72" s="527" t="e">
        <f t="shared" si="15"/>
        <v>#REF!</v>
      </c>
      <c r="I72" s="589">
        <v>13000</v>
      </c>
      <c r="J72" s="593">
        <f>'58100'!D10+41810.97+3500</f>
        <v>45310.97</v>
      </c>
      <c r="K72" s="594">
        <f>'58100'!G10</f>
        <v>0</v>
      </c>
      <c r="L72" s="594">
        <v>63700</v>
      </c>
      <c r="M72" s="594">
        <f>'58100'!E10</f>
        <v>0</v>
      </c>
      <c r="N72" s="451">
        <v>64485</v>
      </c>
      <c r="O72" s="527">
        <f>N72/L72</f>
        <v>1.0123233908948195</v>
      </c>
      <c r="P72" s="451">
        <v>70347.272727272721</v>
      </c>
      <c r="Q72" s="449"/>
      <c r="R72" s="451">
        <f>'58100'!H10</f>
        <v>0</v>
      </c>
      <c r="S72" s="451">
        <f>'58100'!I10</f>
        <v>0</v>
      </c>
      <c r="T72" s="451">
        <v>18200</v>
      </c>
      <c r="U72" s="872">
        <f>'58100'!N10</f>
        <v>0</v>
      </c>
      <c r="V72" s="450">
        <v>0</v>
      </c>
      <c r="W72" s="450">
        <f t="shared" si="22"/>
        <v>0</v>
      </c>
      <c r="X72" s="450">
        <f t="shared" si="12"/>
        <v>0</v>
      </c>
      <c r="Y72" s="957"/>
      <c r="Z72" s="1120"/>
      <c r="AA72" s="1053"/>
      <c r="AB72" s="1274">
        <f t="shared" si="21"/>
        <v>0</v>
      </c>
      <c r="AC72" s="527"/>
      <c r="AD72" s="451"/>
      <c r="AE72" s="1273"/>
      <c r="AG72" s="1490"/>
      <c r="AH72" s="1488">
        <f t="shared" si="11"/>
        <v>0</v>
      </c>
      <c r="AI72" s="526"/>
      <c r="AJ72" s="1517"/>
      <c r="AK72" s="1517">
        <f t="shared" si="16"/>
        <v>0</v>
      </c>
      <c r="AL72" s="955"/>
      <c r="AM72" s="1489">
        <f>'58100'!O10</f>
        <v>0</v>
      </c>
      <c r="AN72" s="248"/>
    </row>
    <row r="73" spans="1:41" ht="19.5" thickBot="1" x14ac:dyDescent="0.35">
      <c r="A73" s="237"/>
      <c r="B73" s="578" t="s">
        <v>497</v>
      </c>
      <c r="C73" s="579" t="s">
        <v>770</v>
      </c>
      <c r="D73" s="580">
        <v>0</v>
      </c>
      <c r="E73" s="581">
        <f>'58201'!D8</f>
        <v>0</v>
      </c>
      <c r="F73" s="583">
        <f t="shared" si="18"/>
        <v>0</v>
      </c>
      <c r="G73" s="531" t="e">
        <f>'58201'!#REF!</f>
        <v>#REF!</v>
      </c>
      <c r="H73" s="527" t="e">
        <f t="shared" si="15"/>
        <v>#REF!</v>
      </c>
      <c r="I73" s="589"/>
      <c r="J73" s="593">
        <f>'58201'!D8</f>
        <v>0</v>
      </c>
      <c r="K73" s="589">
        <v>10765</v>
      </c>
      <c r="L73" s="594">
        <v>10765</v>
      </c>
      <c r="M73" s="594">
        <f>'58201'!E8</f>
        <v>0</v>
      </c>
      <c r="N73" s="451">
        <f>[2]Sheet1!$DI$397</f>
        <v>10782.004000000001</v>
      </c>
      <c r="O73" s="527">
        <v>1.0123233908948195</v>
      </c>
      <c r="P73" s="451">
        <v>10361.312727272731</v>
      </c>
      <c r="Q73" s="449"/>
      <c r="R73" s="451">
        <f>'58201'!H8</f>
        <v>0</v>
      </c>
      <c r="S73" s="451">
        <v>0</v>
      </c>
      <c r="T73" s="451">
        <v>0</v>
      </c>
      <c r="U73" s="872"/>
      <c r="V73" s="450"/>
      <c r="W73" s="449"/>
      <c r="X73" s="450">
        <f t="shared" si="12"/>
        <v>0</v>
      </c>
      <c r="Y73" s="957"/>
      <c r="Z73" s="1120"/>
      <c r="AA73" s="1053"/>
      <c r="AB73" s="1274">
        <f t="shared" si="21"/>
        <v>0</v>
      </c>
      <c r="AC73" s="527"/>
      <c r="AD73" s="451"/>
      <c r="AE73" s="1273"/>
      <c r="AG73" s="1490"/>
      <c r="AH73" s="1488">
        <f t="shared" si="11"/>
        <v>0</v>
      </c>
      <c r="AI73" s="526"/>
      <c r="AJ73" s="1517"/>
      <c r="AK73" s="1517">
        <f t="shared" si="16"/>
        <v>0</v>
      </c>
      <c r="AL73" s="955"/>
      <c r="AM73" s="1489">
        <f t="shared" si="14"/>
        <v>0</v>
      </c>
      <c r="AN73" s="248"/>
    </row>
    <row r="74" spans="1:41" ht="19.5" thickBot="1" x14ac:dyDescent="0.35">
      <c r="A74" s="237"/>
      <c r="B74" s="597" t="s">
        <v>459</v>
      </c>
      <c r="C74" s="598" t="s">
        <v>460</v>
      </c>
      <c r="D74" s="599" t="e">
        <f>'59200'!#REF!</f>
        <v>#REF!</v>
      </c>
      <c r="E74" s="600" t="e">
        <f>'59200'!#REF!</f>
        <v>#REF!</v>
      </c>
      <c r="F74" s="601" t="e">
        <f t="shared" si="18"/>
        <v>#REF!</v>
      </c>
      <c r="G74" s="602" t="e">
        <f>'59200'!#REF!</f>
        <v>#REF!</v>
      </c>
      <c r="H74" s="535" t="e">
        <f t="shared" si="15"/>
        <v>#REF!</v>
      </c>
      <c r="I74" s="603">
        <v>24650</v>
      </c>
      <c r="J74" s="604" t="e">
        <f>'59200'!#REF!+5057+11775</f>
        <v>#REF!</v>
      </c>
      <c r="K74" s="605" t="e">
        <f>'59200'!#REF!</f>
        <v>#REF!</v>
      </c>
      <c r="L74" s="605">
        <f>113202-60000</f>
        <v>53202</v>
      </c>
      <c r="M74" s="605" t="e">
        <f>'59200'!#REF!</f>
        <v>#REF!</v>
      </c>
      <c r="N74" s="489">
        <v>59737.240000000005</v>
      </c>
      <c r="O74" s="535">
        <v>0.88229168601950791</v>
      </c>
      <c r="P74" s="489">
        <v>65167.898181818186</v>
      </c>
      <c r="Q74" s="536"/>
      <c r="R74" s="489" t="e">
        <f>'59200'!#REF!</f>
        <v>#REF!</v>
      </c>
      <c r="S74" s="489">
        <v>9795</v>
      </c>
      <c r="T74" s="894">
        <v>14795</v>
      </c>
      <c r="U74" s="876">
        <f>'59200'!F17</f>
        <v>5450</v>
      </c>
      <c r="V74" s="538">
        <f>'59200'!G17</f>
        <v>4795.5</v>
      </c>
      <c r="W74" s="895">
        <f>'59200'!H17</f>
        <v>1995.5</v>
      </c>
      <c r="X74" s="450">
        <f t="shared" si="12"/>
        <v>654.5</v>
      </c>
      <c r="Y74" s="1037"/>
      <c r="Z74" s="1123"/>
      <c r="AA74" s="1054">
        <f>'59200'!F17</f>
        <v>5450</v>
      </c>
      <c r="AB74" s="1276">
        <f t="shared" si="21"/>
        <v>-5450</v>
      </c>
      <c r="AC74" s="535"/>
      <c r="AD74" s="489"/>
      <c r="AE74" s="1277"/>
      <c r="AG74" s="1494"/>
      <c r="AH74" s="1488">
        <f t="shared" si="11"/>
        <v>0</v>
      </c>
      <c r="AI74" s="534"/>
      <c r="AJ74" s="1519">
        <f>'59200'!J17</f>
        <v>5000</v>
      </c>
      <c r="AK74" s="1517">
        <f t="shared" si="16"/>
        <v>5000</v>
      </c>
      <c r="AL74" s="1495">
        <f>'59200'!K17</f>
        <v>7500</v>
      </c>
      <c r="AM74" s="1489">
        <f t="shared" si="14"/>
        <v>7500</v>
      </c>
      <c r="AN74" s="248">
        <v>5000</v>
      </c>
      <c r="AO74" s="763">
        <f>'59200'!O17</f>
        <v>17308</v>
      </c>
    </row>
    <row r="75" spans="1:41" s="232" customFormat="1" ht="20.25" thickTop="1" thickBot="1" x14ac:dyDescent="0.35">
      <c r="A75" s="559"/>
      <c r="B75" s="560" t="s">
        <v>625</v>
      </c>
      <c r="C75" s="560"/>
      <c r="D75" s="561" t="e">
        <f>SUM(D21:D74)</f>
        <v>#REF!</v>
      </c>
      <c r="E75" s="561" t="e">
        <f>SUM(E21:E74)</f>
        <v>#REF!</v>
      </c>
      <c r="F75" s="561" t="e">
        <f>SUM(F21:F74)</f>
        <v>#REF!</v>
      </c>
      <c r="G75" s="562" t="e">
        <f>SUM(G21:G74)</f>
        <v>#REF!</v>
      </c>
      <c r="H75" s="563"/>
      <c r="I75" s="564" t="e">
        <f t="shared" ref="I75:N75" si="23">SUM(I21:I74)</f>
        <v>#REF!</v>
      </c>
      <c r="J75" s="565" t="e">
        <f t="shared" si="23"/>
        <v>#REF!</v>
      </c>
      <c r="K75" s="564" t="e">
        <f t="shared" si="23"/>
        <v>#REF!</v>
      </c>
      <c r="L75" s="564">
        <f t="shared" si="23"/>
        <v>3443980</v>
      </c>
      <c r="M75" s="564" t="e">
        <f t="shared" si="23"/>
        <v>#REF!</v>
      </c>
      <c r="N75" s="564">
        <f t="shared" si="23"/>
        <v>2370584.8570000008</v>
      </c>
      <c r="O75" s="566">
        <f>N75/L75</f>
        <v>0.68832712646414929</v>
      </c>
      <c r="P75" s="564">
        <f>SUM(P21:P74)</f>
        <v>3521588.2836363632</v>
      </c>
      <c r="Q75" s="539"/>
      <c r="R75" s="541" t="e">
        <f t="shared" ref="R75:W75" si="24">SUM(R21:R74)</f>
        <v>#REF!</v>
      </c>
      <c r="S75" s="541" t="e">
        <f t="shared" si="24"/>
        <v>#REF!</v>
      </c>
      <c r="T75" s="889" t="e">
        <f t="shared" si="24"/>
        <v>#REF!</v>
      </c>
      <c r="U75" s="896" t="e">
        <f t="shared" si="24"/>
        <v>#REF!</v>
      </c>
      <c r="V75" s="897" t="e">
        <f t="shared" si="24"/>
        <v>#REF!</v>
      </c>
      <c r="W75" s="897" t="e">
        <f t="shared" si="24"/>
        <v>#REF!</v>
      </c>
      <c r="X75" s="897" t="e">
        <f>V75-U75</f>
        <v>#REF!</v>
      </c>
      <c r="Y75" s="1038" t="e">
        <f>SUM(Y21:Y74)</f>
        <v>#REF!</v>
      </c>
      <c r="Z75" s="1038">
        <f>SUM(Z21:Z74)</f>
        <v>2422094.38</v>
      </c>
      <c r="AA75" s="1264">
        <f>SUM(AA21:AA74)</f>
        <v>2036494.9119999998</v>
      </c>
      <c r="AB75" s="1265">
        <f t="shared" si="21"/>
        <v>385599.46800000011</v>
      </c>
      <c r="AC75" s="610">
        <f>AA75/Z75</f>
        <v>0.84079915663732308</v>
      </c>
      <c r="AD75" s="1266">
        <f>SUM(AD21:AD74)</f>
        <v>2372940</v>
      </c>
      <c r="AE75" s="1266">
        <f>SUM(AE21:AE74)</f>
        <v>-75650</v>
      </c>
      <c r="AF75" s="1049"/>
      <c r="AG75" s="1266">
        <f t="shared" ref="AG75:AO75" si="25">SUM(AG21:AG74)</f>
        <v>2285551.48</v>
      </c>
      <c r="AH75" s="1496">
        <f t="shared" si="25"/>
        <v>87388.519999999931</v>
      </c>
      <c r="AI75" s="1266">
        <f t="shared" si="25"/>
        <v>2329799</v>
      </c>
      <c r="AJ75" s="1266">
        <f t="shared" si="25"/>
        <v>2304870</v>
      </c>
      <c r="AK75" s="1266">
        <f t="shared" si="25"/>
        <v>2269696</v>
      </c>
      <c r="AL75" s="1266">
        <f t="shared" si="25"/>
        <v>2321296</v>
      </c>
      <c r="AM75" s="1266">
        <f t="shared" si="25"/>
        <v>2416409</v>
      </c>
      <c r="AN75" s="1266" t="e">
        <f t="shared" si="25"/>
        <v>#REF!</v>
      </c>
      <c r="AO75" s="1624">
        <f t="shared" si="25"/>
        <v>2634514</v>
      </c>
    </row>
    <row r="76" spans="1:41" ht="15.75" hidden="1" thickTop="1" x14ac:dyDescent="0.25">
      <c r="B76" s="228" t="s">
        <v>626</v>
      </c>
      <c r="C76" s="228"/>
      <c r="D76" s="229"/>
      <c r="E76" s="229"/>
      <c r="L76" s="230"/>
      <c r="M76" s="230"/>
      <c r="N76" s="230"/>
      <c r="O76" s="231"/>
      <c r="R76" s="230"/>
      <c r="T76" s="227"/>
      <c r="Y76" s="254"/>
      <c r="Z76" s="254"/>
      <c r="AC76" s="256"/>
      <c r="AD76" s="254"/>
      <c r="AE76" s="764"/>
      <c r="AF76" s="253"/>
      <c r="AG76" s="255"/>
      <c r="AH76" s="255"/>
    </row>
    <row r="77" spans="1:41" ht="15.75" hidden="1" thickTop="1" x14ac:dyDescent="0.25">
      <c r="B77" s="228" t="s">
        <v>624</v>
      </c>
      <c r="C77" s="228"/>
      <c r="D77" s="229"/>
      <c r="E77" s="229"/>
      <c r="L77" s="230"/>
      <c r="M77" s="230"/>
      <c r="N77" s="230"/>
      <c r="O77" s="231"/>
      <c r="R77" s="230"/>
      <c r="T77" s="227"/>
      <c r="Y77" s="254"/>
      <c r="Z77" s="254"/>
      <c r="AC77" s="256"/>
      <c r="AD77" s="254"/>
      <c r="AE77" s="764"/>
      <c r="AF77" s="253"/>
      <c r="AG77" s="255"/>
      <c r="AH77" s="255"/>
    </row>
    <row r="78" spans="1:41" ht="9.9499999999999993" customHeight="1" thickTop="1" x14ac:dyDescent="0.25">
      <c r="B78" s="228"/>
      <c r="C78" s="228"/>
      <c r="D78" s="229"/>
      <c r="E78" s="229"/>
      <c r="L78" s="230"/>
      <c r="M78" s="230"/>
      <c r="N78" s="230"/>
      <c r="O78" s="231"/>
      <c r="R78" s="230"/>
      <c r="S78" s="230"/>
      <c r="T78" s="227"/>
      <c r="X78" s="1045"/>
      <c r="Y78" s="1039"/>
      <c r="Z78" s="1039"/>
      <c r="AA78" s="1056"/>
      <c r="AB78" s="1046"/>
      <c r="AC78" s="256"/>
      <c r="AD78" s="254"/>
      <c r="AE78" s="764"/>
      <c r="AF78" s="253"/>
      <c r="AG78" s="255"/>
      <c r="AH78" s="255"/>
    </row>
    <row r="79" spans="1:41" s="239" customFormat="1" ht="15.75" thickBot="1" x14ac:dyDescent="0.3">
      <c r="B79" s="240"/>
      <c r="C79" s="241" t="s">
        <v>374</v>
      </c>
      <c r="D79" s="242"/>
      <c r="E79" s="243"/>
      <c r="F79" s="244"/>
      <c r="H79" s="245"/>
      <c r="L79" s="247"/>
      <c r="M79" s="247"/>
      <c r="N79" s="247"/>
      <c r="O79" s="245"/>
      <c r="R79" s="247"/>
      <c r="U79" s="760"/>
      <c r="V79" s="411"/>
      <c r="X79" s="1047"/>
      <c r="Y79" s="1040"/>
      <c r="Z79" s="1040"/>
      <c r="AA79" s="1057"/>
      <c r="AB79" s="1048"/>
      <c r="AC79" s="1165"/>
      <c r="AD79" s="1040"/>
      <c r="AE79" s="1263"/>
      <c r="AF79" s="1047"/>
      <c r="AG79" s="1497"/>
      <c r="AH79" s="1497"/>
      <c r="AI79" s="248"/>
      <c r="AJ79" s="248"/>
      <c r="AK79" s="248"/>
      <c r="AL79" s="248"/>
      <c r="AO79" s="411"/>
    </row>
    <row r="80" spans="1:41" s="239" customFormat="1" ht="15.75" x14ac:dyDescent="0.25">
      <c r="B80" s="649" t="s">
        <v>464</v>
      </c>
      <c r="C80" s="650" t="s">
        <v>462</v>
      </c>
      <c r="D80" s="651">
        <v>135918</v>
      </c>
      <c r="E80" s="520">
        <v>450000</v>
      </c>
      <c r="F80" s="652">
        <f>E80-D80</f>
        <v>314082</v>
      </c>
      <c r="G80" s="653">
        <f>621.67+50000+20000</f>
        <v>70621.67</v>
      </c>
      <c r="H80" s="522">
        <f>G80/E80</f>
        <v>0.15693704444444445</v>
      </c>
      <c r="I80" s="448"/>
      <c r="J80" s="577">
        <f>38230.35+250000</f>
        <v>288230.34999999998</v>
      </c>
      <c r="K80" s="577">
        <f>87878+71325+118315</f>
        <v>277518</v>
      </c>
      <c r="L80" s="488">
        <f>41120+74530+118315</f>
        <v>233965</v>
      </c>
      <c r="M80" s="488"/>
      <c r="N80" s="488">
        <v>156000</v>
      </c>
      <c r="O80" s="522">
        <f>N80/L80</f>
        <v>0.66676639668326454</v>
      </c>
      <c r="P80" s="488">
        <v>440081.99</v>
      </c>
      <c r="Q80" s="448"/>
      <c r="R80" s="488">
        <v>100000</v>
      </c>
      <c r="S80" s="488">
        <v>26000</v>
      </c>
      <c r="T80" s="488">
        <v>49500</v>
      </c>
      <c r="U80" s="870">
        <v>0</v>
      </c>
      <c r="V80" s="577">
        <v>20000</v>
      </c>
      <c r="W80" s="448"/>
      <c r="X80" s="577">
        <f t="shared" ref="X80:X85" si="26">V80-U80</f>
        <v>20000</v>
      </c>
      <c r="Y80" s="1041"/>
      <c r="Z80" s="1155">
        <v>5424.94</v>
      </c>
      <c r="AA80" s="1052">
        <f>216635+2000</f>
        <v>218635</v>
      </c>
      <c r="AB80" s="247">
        <f>Z80-AA80</f>
        <v>-213210.06</v>
      </c>
      <c r="AC80" s="245">
        <f>AA80/Z80</f>
        <v>40.301828222984959</v>
      </c>
      <c r="AD80" s="247"/>
      <c r="AE80" s="411"/>
      <c r="AG80" s="248"/>
      <c r="AH80" s="248"/>
      <c r="AI80" s="248"/>
      <c r="AJ80" s="248"/>
      <c r="AK80" s="248"/>
      <c r="AL80" s="248"/>
      <c r="AO80" s="411">
        <v>5000</v>
      </c>
    </row>
    <row r="81" spans="1:46" s="239" customFormat="1" ht="15.75" x14ac:dyDescent="0.25">
      <c r="B81" s="654" t="s">
        <v>467</v>
      </c>
      <c r="C81" s="655" t="s">
        <v>463</v>
      </c>
      <c r="D81" s="656">
        <v>12000</v>
      </c>
      <c r="E81" s="525">
        <v>650000</v>
      </c>
      <c r="F81" s="657">
        <f>E81-D81</f>
        <v>638000</v>
      </c>
      <c r="G81" s="658">
        <v>11999.97</v>
      </c>
      <c r="H81" s="527">
        <f>G81/E81</f>
        <v>1.8461492307692305E-2</v>
      </c>
      <c r="I81" s="449"/>
      <c r="J81" s="450">
        <f>25069+115520</f>
        <v>140589</v>
      </c>
      <c r="K81" s="450">
        <f>500000+29263+172770</f>
        <v>702033</v>
      </c>
      <c r="L81" s="451">
        <f>500000+29263+172770</f>
        <v>702033</v>
      </c>
      <c r="M81" s="451"/>
      <c r="N81" s="451">
        <v>15953</v>
      </c>
      <c r="O81" s="527">
        <f t="shared" ref="O81:O86" si="27">N81/L81</f>
        <v>2.2724003002707851E-2</v>
      </c>
      <c r="P81" s="451">
        <f>N81</f>
        <v>15953</v>
      </c>
      <c r="Q81" s="449"/>
      <c r="R81" s="451">
        <v>348271</v>
      </c>
      <c r="S81" s="451">
        <v>0</v>
      </c>
      <c r="T81" s="449"/>
      <c r="U81" s="872">
        <v>30930</v>
      </c>
      <c r="V81" s="450">
        <v>30000</v>
      </c>
      <c r="W81" s="449"/>
      <c r="X81" s="450">
        <f t="shared" si="26"/>
        <v>-930</v>
      </c>
      <c r="Y81" s="1042">
        <v>27000</v>
      </c>
      <c r="Z81" s="1124">
        <f>Y81</f>
        <v>27000</v>
      </c>
      <c r="AA81" s="1053">
        <v>2163.85</v>
      </c>
      <c r="AB81" s="247">
        <f>Z81-AA81</f>
        <v>24836.15</v>
      </c>
      <c r="AC81" s="245">
        <f>AA81/Z81</f>
        <v>8.0142592592592585E-2</v>
      </c>
      <c r="AD81" s="247">
        <v>2500</v>
      </c>
      <c r="AE81" s="411"/>
      <c r="AG81" s="248"/>
      <c r="AH81" s="248">
        <f>AD81-AG81</f>
        <v>2500</v>
      </c>
      <c r="AI81" s="248"/>
      <c r="AJ81" s="248">
        <v>2500</v>
      </c>
      <c r="AK81" s="248">
        <f>AJ81</f>
        <v>2500</v>
      </c>
      <c r="AL81" s="248">
        <v>24061</v>
      </c>
      <c r="AM81" s="248">
        <f>AL81</f>
        <v>24061</v>
      </c>
      <c r="AN81" s="248"/>
      <c r="AO81" s="411">
        <v>40000</v>
      </c>
    </row>
    <row r="82" spans="1:46" s="239" customFormat="1" ht="15.75" x14ac:dyDescent="0.25">
      <c r="B82" s="654" t="s">
        <v>465</v>
      </c>
      <c r="C82" s="655" t="s">
        <v>784</v>
      </c>
      <c r="D82" s="656">
        <f>300765-11197</f>
        <v>289568</v>
      </c>
      <c r="E82" s="525">
        <v>348000</v>
      </c>
      <c r="F82" s="657">
        <f>E82-D82</f>
        <v>58432</v>
      </c>
      <c r="G82" s="658">
        <v>346746.54</v>
      </c>
      <c r="H82" s="527">
        <f>G82/E82</f>
        <v>0.99639810344827584</v>
      </c>
      <c r="I82" s="449"/>
      <c r="J82" s="450">
        <v>471884.86</v>
      </c>
      <c r="K82" s="450">
        <f>545798-82500</f>
        <v>463298</v>
      </c>
      <c r="L82" s="451">
        <f>545798-82500</f>
        <v>463298</v>
      </c>
      <c r="M82" s="451"/>
      <c r="N82" s="451">
        <v>413400.59</v>
      </c>
      <c r="O82" s="527">
        <f t="shared" si="27"/>
        <v>0.89229953507245885</v>
      </c>
      <c r="P82" s="451">
        <f>N82</f>
        <v>413400.59</v>
      </c>
      <c r="Q82" s="449"/>
      <c r="R82" s="451">
        <f>445000+123936-50000-20000-10000</f>
        <v>488936</v>
      </c>
      <c r="S82" s="451">
        <v>200000</v>
      </c>
      <c r="T82" s="451">
        <v>200000</v>
      </c>
      <c r="U82" s="872">
        <v>748756.91</v>
      </c>
      <c r="V82" s="450">
        <v>813005</v>
      </c>
      <c r="W82" s="450">
        <f>V82</f>
        <v>813005</v>
      </c>
      <c r="X82" s="450">
        <f t="shared" si="26"/>
        <v>64248.089999999967</v>
      </c>
      <c r="Y82" s="1043">
        <f>'[1]GENERAL FUND SUMMARY'!$Y$82</f>
        <v>1002287</v>
      </c>
      <c r="Z82" s="1125">
        <f>Y82+4455</f>
        <v>1006742</v>
      </c>
      <c r="AA82" s="1167">
        <f>[7]Sheet1!$DA$17+[7]Sheet1!$DB$17+62006.04+52727.5+37296.98+130162.46+51756.15+56288.36+25000</f>
        <v>768937.9</v>
      </c>
      <c r="AB82" s="247">
        <f>Z82-AA82</f>
        <v>237804.09999999998</v>
      </c>
      <c r="AC82" s="245">
        <f>AA82/Z82</f>
        <v>0.7637884383486534</v>
      </c>
      <c r="AD82" s="248" t="e">
        <f>'DEBT SERVICE'!C22-321000</f>
        <v>#REF!</v>
      </c>
      <c r="AE82" s="411">
        <v>-81687.839999999997</v>
      </c>
      <c r="AF82" s="239" t="s">
        <v>921</v>
      </c>
      <c r="AG82" s="248">
        <v>920674</v>
      </c>
      <c r="AH82" s="248" t="e">
        <f>AD82-AG82</f>
        <v>#REF!</v>
      </c>
      <c r="AI82" s="248">
        <f>1261000-90000</f>
        <v>1171000</v>
      </c>
      <c r="AJ82" s="248">
        <f>1261000-90000</f>
        <v>1171000</v>
      </c>
      <c r="AK82" s="248">
        <f>AJ82-210000-81684</f>
        <v>879316</v>
      </c>
      <c r="AL82" s="248">
        <f>'[8]PAYABLE SCHEDULE DUE IN 1 YEAR'!$K$15</f>
        <v>862415.99999999988</v>
      </c>
      <c r="AM82" s="1549">
        <f>'[9]PAYABLE SCHEDULE DUE IN 1 YEAR'!$K$15</f>
        <v>919652</v>
      </c>
      <c r="AN82" s="1549"/>
      <c r="AO82" s="411">
        <f>926194-50000</f>
        <v>876194</v>
      </c>
    </row>
    <row r="83" spans="1:46" s="239" customFormat="1" ht="15.75" x14ac:dyDescent="0.25">
      <c r="B83" s="654"/>
      <c r="C83" s="655" t="s">
        <v>860</v>
      </c>
      <c r="D83" s="656"/>
      <c r="E83" s="525"/>
      <c r="F83" s="657"/>
      <c r="G83" s="658"/>
      <c r="H83" s="527"/>
      <c r="I83" s="449"/>
      <c r="J83" s="450"/>
      <c r="K83" s="450"/>
      <c r="L83" s="451"/>
      <c r="M83" s="451"/>
      <c r="N83" s="451">
        <v>12449.65</v>
      </c>
      <c r="O83" s="527"/>
      <c r="P83" s="451">
        <f>N83</f>
        <v>12449.65</v>
      </c>
      <c r="Q83" s="449"/>
      <c r="R83" s="451"/>
      <c r="S83" s="449"/>
      <c r="T83" s="449"/>
      <c r="U83" s="872">
        <v>0</v>
      </c>
      <c r="V83" s="450">
        <v>10000</v>
      </c>
      <c r="W83" s="449"/>
      <c r="X83" s="450">
        <f t="shared" si="26"/>
        <v>10000</v>
      </c>
      <c r="Y83" s="1042"/>
      <c r="Z83" s="1156">
        <v>652.67999999999995</v>
      </c>
      <c r="AA83" s="1053"/>
      <c r="AB83" s="247">
        <f>Z83-AA83</f>
        <v>652.67999999999995</v>
      </c>
      <c r="AC83" s="245">
        <f>AA83/Z83</f>
        <v>0</v>
      </c>
      <c r="AD83" s="247"/>
      <c r="AE83" s="411"/>
      <c r="AG83" s="248"/>
      <c r="AH83" s="248"/>
      <c r="AI83" s="248"/>
      <c r="AJ83" s="248"/>
      <c r="AK83" s="248">
        <f t="shared" ref="AK83:AK84" si="28">AJ83</f>
        <v>0</v>
      </c>
      <c r="AL83" s="248"/>
      <c r="AO83" s="411"/>
    </row>
    <row r="84" spans="1:46" s="239" customFormat="1" ht="15.75" x14ac:dyDescent="0.25">
      <c r="B84" s="654"/>
      <c r="C84" s="655" t="s">
        <v>728</v>
      </c>
      <c r="D84" s="656"/>
      <c r="E84" s="525"/>
      <c r="F84" s="657"/>
      <c r="G84" s="658"/>
      <c r="H84" s="527"/>
      <c r="I84" s="449"/>
      <c r="J84" s="450"/>
      <c r="K84" s="450"/>
      <c r="L84" s="451"/>
      <c r="M84" s="451"/>
      <c r="N84" s="451"/>
      <c r="O84" s="527"/>
      <c r="P84" s="451"/>
      <c r="Q84" s="449"/>
      <c r="R84" s="451"/>
      <c r="S84" s="449"/>
      <c r="T84" s="449"/>
      <c r="U84" s="872">
        <v>0</v>
      </c>
      <c r="V84" s="450">
        <v>30000</v>
      </c>
      <c r="W84" s="449"/>
      <c r="X84" s="450">
        <f t="shared" si="26"/>
        <v>30000</v>
      </c>
      <c r="Y84" s="935">
        <v>24000</v>
      </c>
      <c r="Z84" s="1126">
        <f>Y84</f>
        <v>24000</v>
      </c>
      <c r="AA84" s="1053">
        <f>28246.92+3500</f>
        <v>31746.92</v>
      </c>
      <c r="AB84" s="247">
        <f>Z84-AA84</f>
        <v>-7746.9199999999983</v>
      </c>
      <c r="AC84" s="245">
        <f>AA84/Z84</f>
        <v>1.3227883333333332</v>
      </c>
      <c r="AD84" s="247">
        <f>'511-SOLID WASTE '!G10</f>
        <v>125200</v>
      </c>
      <c r="AE84" s="411"/>
      <c r="AG84" s="248">
        <v>60000</v>
      </c>
      <c r="AH84" s="248">
        <f>AD84-AG84</f>
        <v>65200</v>
      </c>
      <c r="AI84" s="248">
        <v>60000</v>
      </c>
      <c r="AJ84" s="248">
        <v>30000</v>
      </c>
      <c r="AK84" s="248">
        <f t="shared" si="28"/>
        <v>30000</v>
      </c>
      <c r="AL84" s="248">
        <v>20000</v>
      </c>
      <c r="AM84" s="248">
        <f>AL84</f>
        <v>20000</v>
      </c>
      <c r="AN84" s="248"/>
      <c r="AO84" s="411">
        <v>30000</v>
      </c>
    </row>
    <row r="85" spans="1:46" s="239" customFormat="1" ht="16.5" thickBot="1" x14ac:dyDescent="0.3">
      <c r="B85" s="659" t="s">
        <v>466</v>
      </c>
      <c r="C85" s="660" t="s">
        <v>727</v>
      </c>
      <c r="D85" s="661">
        <v>326465</v>
      </c>
      <c r="E85" s="533">
        <v>1311155</v>
      </c>
      <c r="F85" s="662">
        <f>E85-D85</f>
        <v>984690</v>
      </c>
      <c r="G85" s="663" t="e">
        <f>#REF!</f>
        <v>#REF!</v>
      </c>
      <c r="H85" s="535" t="e">
        <f>G85/E85</f>
        <v>#REF!</v>
      </c>
      <c r="I85" s="536"/>
      <c r="J85" s="538">
        <v>154249.74</v>
      </c>
      <c r="K85" s="538">
        <v>43820</v>
      </c>
      <c r="L85" s="489">
        <v>43820</v>
      </c>
      <c r="M85" s="489"/>
      <c r="N85" s="489">
        <v>0</v>
      </c>
      <c r="O85" s="535">
        <f t="shared" si="27"/>
        <v>0</v>
      </c>
      <c r="P85" s="489">
        <f>N85</f>
        <v>0</v>
      </c>
      <c r="Q85" s="536"/>
      <c r="R85" s="489"/>
      <c r="S85" s="536"/>
      <c r="T85" s="489">
        <v>0</v>
      </c>
      <c r="U85" s="876">
        <v>0</v>
      </c>
      <c r="V85" s="538"/>
      <c r="W85" s="538">
        <f>V85</f>
        <v>0</v>
      </c>
      <c r="X85" s="538">
        <f t="shared" si="26"/>
        <v>0</v>
      </c>
      <c r="Y85" s="936"/>
      <c r="Z85" s="1127"/>
      <c r="AA85" s="1054"/>
      <c r="AC85" s="245"/>
      <c r="AD85" s="247"/>
      <c r="AE85" s="411"/>
      <c r="AG85" s="248"/>
      <c r="AH85" s="248"/>
      <c r="AI85" s="248"/>
      <c r="AJ85" s="248"/>
      <c r="AK85" s="248"/>
      <c r="AL85" s="248"/>
      <c r="AO85" s="411"/>
    </row>
    <row r="86" spans="1:46" s="246" customFormat="1" ht="20.25" thickTop="1" thickBot="1" x14ac:dyDescent="0.35">
      <c r="A86" s="867"/>
      <c r="B86" s="540" t="s">
        <v>468</v>
      </c>
      <c r="C86" s="540"/>
      <c r="D86" s="898">
        <f>SUM(D80:D85)</f>
        <v>763951</v>
      </c>
      <c r="E86" s="898">
        <f>SUM(E80:E85)</f>
        <v>2759155</v>
      </c>
      <c r="F86" s="899">
        <f>SUM(F80:F85)</f>
        <v>1995204</v>
      </c>
      <c r="G86" s="900" t="e">
        <f>SUM(G80:G85)</f>
        <v>#REF!</v>
      </c>
      <c r="H86" s="901" t="e">
        <f>G86/E86</f>
        <v>#REF!</v>
      </c>
      <c r="I86" s="539"/>
      <c r="J86" s="898">
        <f>SUM(J80:J85)</f>
        <v>1054953.95</v>
      </c>
      <c r="K86" s="898">
        <f t="shared" ref="K86:S86" si="29">SUM(K80:K85)</f>
        <v>1486669</v>
      </c>
      <c r="L86" s="898">
        <f t="shared" si="29"/>
        <v>1443116</v>
      </c>
      <c r="M86" s="898">
        <f t="shared" si="29"/>
        <v>0</v>
      </c>
      <c r="N86" s="898">
        <f t="shared" si="29"/>
        <v>597803.24000000011</v>
      </c>
      <c r="O86" s="542">
        <f t="shared" si="27"/>
        <v>0.41424475925705218</v>
      </c>
      <c r="P86" s="898">
        <f t="shared" si="29"/>
        <v>881885.2300000001</v>
      </c>
      <c r="Q86" s="539"/>
      <c r="R86" s="898">
        <f t="shared" si="29"/>
        <v>937207</v>
      </c>
      <c r="S86" s="898">
        <f t="shared" si="29"/>
        <v>226000</v>
      </c>
      <c r="T86" s="898">
        <f t="shared" ref="T86:AO86" si="30">SUM(T80:T85)</f>
        <v>249500</v>
      </c>
      <c r="U86" s="902">
        <f t="shared" si="30"/>
        <v>779686.91</v>
      </c>
      <c r="V86" s="903">
        <f t="shared" si="30"/>
        <v>903005</v>
      </c>
      <c r="W86" s="903">
        <f t="shared" si="30"/>
        <v>813005</v>
      </c>
      <c r="X86" s="903">
        <f t="shared" si="30"/>
        <v>123318.08999999997</v>
      </c>
      <c r="Y86" s="898">
        <f t="shared" si="30"/>
        <v>1053287</v>
      </c>
      <c r="Z86" s="898">
        <f t="shared" si="30"/>
        <v>1063819.6200000001</v>
      </c>
      <c r="AA86" s="898">
        <f t="shared" si="30"/>
        <v>1021483.67</v>
      </c>
      <c r="AB86" s="898">
        <f t="shared" si="30"/>
        <v>42335.949999999975</v>
      </c>
      <c r="AC86" s="245">
        <f>AA86/Z86</f>
        <v>0.96020382666001214</v>
      </c>
      <c r="AD86" s="898" t="e">
        <f t="shared" si="30"/>
        <v>#REF!</v>
      </c>
      <c r="AE86" s="898">
        <f t="shared" si="30"/>
        <v>-81687.839999999997</v>
      </c>
      <c r="AG86" s="899">
        <f t="shared" si="30"/>
        <v>980674</v>
      </c>
      <c r="AH86" s="248" t="e">
        <f>AD86-AG86</f>
        <v>#REF!</v>
      </c>
      <c r="AI86" s="899">
        <f t="shared" si="30"/>
        <v>1231000</v>
      </c>
      <c r="AJ86" s="899">
        <f t="shared" si="30"/>
        <v>1203500</v>
      </c>
      <c r="AK86" s="899">
        <f t="shared" si="30"/>
        <v>911816</v>
      </c>
      <c r="AL86" s="899">
        <f t="shared" si="30"/>
        <v>906476.99999999988</v>
      </c>
      <c r="AM86" s="899">
        <f t="shared" si="30"/>
        <v>963713</v>
      </c>
      <c r="AN86" s="899">
        <f t="shared" si="30"/>
        <v>0</v>
      </c>
      <c r="AO86" s="903">
        <f t="shared" si="30"/>
        <v>951194</v>
      </c>
    </row>
    <row r="87" spans="1:46" s="239" customFormat="1" ht="16.5" thickTop="1" thickBot="1" x14ac:dyDescent="0.3">
      <c r="D87" s="247"/>
      <c r="E87" s="247"/>
      <c r="F87" s="248"/>
      <c r="H87" s="245"/>
      <c r="J87" s="411"/>
      <c r="K87" s="411"/>
      <c r="L87" s="247"/>
      <c r="M87" s="247"/>
      <c r="N87" s="247"/>
      <c r="O87" s="245"/>
      <c r="R87" s="247"/>
      <c r="U87" s="760"/>
      <c r="V87" s="411"/>
      <c r="X87" s="411"/>
      <c r="Y87" s="247"/>
      <c r="Z87" s="247"/>
      <c r="AA87" s="760"/>
      <c r="AC87" s="245"/>
      <c r="AD87" s="1314"/>
      <c r="AE87" s="411"/>
      <c r="AG87" s="1500"/>
      <c r="AH87" s="1500"/>
      <c r="AI87" s="1500"/>
      <c r="AJ87" s="1500"/>
      <c r="AK87" s="1500"/>
      <c r="AL87" s="1500"/>
      <c r="AO87" s="411"/>
    </row>
    <row r="88" spans="1:46" s="239" customFormat="1" ht="20.25" thickTop="1" thickBot="1" x14ac:dyDescent="0.35">
      <c r="A88" s="249"/>
      <c r="B88" s="233" t="s">
        <v>469</v>
      </c>
      <c r="C88" s="250"/>
      <c r="D88" s="234" t="e">
        <f>D86+D75</f>
        <v>#REF!</v>
      </c>
      <c r="E88" s="234" t="e">
        <f>E86+E75</f>
        <v>#REF!</v>
      </c>
      <c r="F88" s="251" t="e">
        <f>F86+F75</f>
        <v>#REF!</v>
      </c>
      <c r="G88" s="236" t="e">
        <f>G86+G75</f>
        <v>#REF!</v>
      </c>
      <c r="H88" s="252" t="e">
        <f>G88/E88</f>
        <v>#REF!</v>
      </c>
      <c r="J88" s="234" t="e">
        <f>J86+J75</f>
        <v>#REF!</v>
      </c>
      <c r="K88" s="412" t="e">
        <f>K86+K75</f>
        <v>#REF!</v>
      </c>
      <c r="L88" s="443">
        <f>L86+L75</f>
        <v>4887096</v>
      </c>
      <c r="M88" s="443" t="e">
        <f>M86+M75</f>
        <v>#REF!</v>
      </c>
      <c r="N88" s="443">
        <f>N86+N75</f>
        <v>2968388.097000001</v>
      </c>
      <c r="O88" s="444">
        <f>N88/L88</f>
        <v>0.60739304016127393</v>
      </c>
      <c r="P88" s="443">
        <f>P86+P75</f>
        <v>4403473.5136363637</v>
      </c>
      <c r="Q88" s="446"/>
      <c r="R88" s="447" t="e">
        <f>R86+R75</f>
        <v>#REF!</v>
      </c>
      <c r="S88" s="447" t="e">
        <f>S86+S75</f>
        <v>#REF!</v>
      </c>
      <c r="T88" s="447" t="e">
        <f t="shared" ref="T88:AB88" si="31">T86+T75</f>
        <v>#REF!</v>
      </c>
      <c r="U88" s="956" t="e">
        <f t="shared" si="31"/>
        <v>#REF!</v>
      </c>
      <c r="V88" s="761" t="e">
        <f t="shared" si="31"/>
        <v>#REF!</v>
      </c>
      <c r="W88" s="761" t="e">
        <f t="shared" si="31"/>
        <v>#REF!</v>
      </c>
      <c r="X88" s="866" t="e">
        <f>V88-U88</f>
        <v>#REF!</v>
      </c>
      <c r="Y88" s="447" t="e">
        <f t="shared" si="31"/>
        <v>#REF!</v>
      </c>
      <c r="Z88" s="447">
        <f t="shared" si="31"/>
        <v>3485914</v>
      </c>
      <c r="AA88" s="447">
        <f t="shared" si="31"/>
        <v>3057978.5819999999</v>
      </c>
      <c r="AB88" s="447">
        <f t="shared" si="31"/>
        <v>427935.41800000006</v>
      </c>
      <c r="AC88" s="245">
        <f>AA88/Z88</f>
        <v>0.87723867599717031</v>
      </c>
      <c r="AD88" s="1313" t="e">
        <f>AD75+AD86</f>
        <v>#REF!</v>
      </c>
      <c r="AE88" s="447">
        <f>AE75+AE86</f>
        <v>-157337.84</v>
      </c>
      <c r="AG88" s="1498">
        <f t="shared" ref="AG88:AO88" si="32">AG75+AG86</f>
        <v>3266225.48</v>
      </c>
      <c r="AH88" s="1498" t="e">
        <f t="shared" si="32"/>
        <v>#REF!</v>
      </c>
      <c r="AI88" s="1498">
        <f t="shared" si="32"/>
        <v>3560799</v>
      </c>
      <c r="AJ88" s="1498">
        <f t="shared" si="32"/>
        <v>3508370</v>
      </c>
      <c r="AK88" s="1498">
        <f t="shared" si="32"/>
        <v>3181512</v>
      </c>
      <c r="AL88" s="1498">
        <f t="shared" si="32"/>
        <v>3227773</v>
      </c>
      <c r="AM88" s="1498">
        <f t="shared" si="32"/>
        <v>3380122</v>
      </c>
      <c r="AN88" s="1498" t="e">
        <f t="shared" si="32"/>
        <v>#REF!</v>
      </c>
      <c r="AO88" s="1625">
        <f t="shared" si="32"/>
        <v>3585708</v>
      </c>
    </row>
    <row r="89" spans="1:46" s="253" customFormat="1" ht="19.5" thickTop="1" x14ac:dyDescent="0.3">
      <c r="B89" s="228" t="s">
        <v>627</v>
      </c>
      <c r="C89" s="227"/>
      <c r="D89" s="254"/>
      <c r="E89" s="254" t="e">
        <f>SUM(E75:E82)</f>
        <v>#REF!</v>
      </c>
      <c r="F89" s="255"/>
      <c r="H89" s="256"/>
      <c r="T89" s="227" t="s">
        <v>789</v>
      </c>
      <c r="U89" s="762"/>
      <c r="V89" s="764"/>
      <c r="X89" s="764"/>
      <c r="Y89" s="254"/>
      <c r="Z89" s="254"/>
      <c r="AA89" s="762"/>
      <c r="AC89" s="256"/>
      <c r="AD89" s="254"/>
      <c r="AE89" s="764"/>
      <c r="AG89" s="255"/>
      <c r="AH89" s="255"/>
      <c r="AI89" s="255"/>
      <c r="AJ89" s="255"/>
      <c r="AK89" s="255"/>
      <c r="AL89" s="255"/>
      <c r="AM89" s="255"/>
      <c r="AN89" s="255"/>
      <c r="AO89" s="1626">
        <f>AO17-AO88</f>
        <v>0</v>
      </c>
      <c r="AQ89" s="1627"/>
      <c r="AR89" s="1627"/>
      <c r="AS89" s="1627"/>
      <c r="AT89" s="1627"/>
    </row>
    <row r="90" spans="1:46" x14ac:dyDescent="0.25">
      <c r="S90" s="230"/>
      <c r="T90" s="230">
        <v>0</v>
      </c>
      <c r="AO90" s="1628" t="s">
        <v>1021</v>
      </c>
      <c r="AQ90" s="253"/>
      <c r="AR90" s="253"/>
      <c r="AS90" s="253"/>
      <c r="AT90" s="253"/>
    </row>
    <row r="91" spans="1:46" x14ac:dyDescent="0.25">
      <c r="C91" s="1159"/>
      <c r="T91" s="230">
        <v>700</v>
      </c>
      <c r="X91" s="763" t="s">
        <v>835</v>
      </c>
      <c r="Y91" s="230" t="e">
        <f>Y17-Y88</f>
        <v>#REF!</v>
      </c>
      <c r="AB91" s="227" t="s">
        <v>922</v>
      </c>
      <c r="AD91" s="230" t="e">
        <f>AD17-AD88</f>
        <v>#REF!</v>
      </c>
      <c r="AG91" s="225">
        <f>AG17-AG88</f>
        <v>-227703.91999999993</v>
      </c>
      <c r="AI91" s="225">
        <f>AI17-AI88</f>
        <v>-334526</v>
      </c>
      <c r="AJ91" s="225">
        <f>AJ17-AJ88</f>
        <v>-281041</v>
      </c>
      <c r="AK91" s="225">
        <f>AK17-AK88</f>
        <v>45817</v>
      </c>
      <c r="AM91" s="225"/>
      <c r="AN91" s="225"/>
    </row>
    <row r="92" spans="1:46" x14ac:dyDescent="0.25">
      <c r="T92" s="230">
        <v>0</v>
      </c>
      <c r="AI92" s="225" t="s">
        <v>973</v>
      </c>
      <c r="AJ92" s="225" t="s">
        <v>974</v>
      </c>
    </row>
    <row r="93" spans="1:46" x14ac:dyDescent="0.25">
      <c r="T93" s="230">
        <v>209067</v>
      </c>
      <c r="AD93" s="230" t="e">
        <f>SUM(AD91:AD92)</f>
        <v>#REF!</v>
      </c>
      <c r="AJ93" s="225" t="s">
        <v>975</v>
      </c>
    </row>
    <row r="94" spans="1:46" x14ac:dyDescent="0.25">
      <c r="T94" s="230">
        <v>0</v>
      </c>
    </row>
    <row r="95" spans="1:46" x14ac:dyDescent="0.25">
      <c r="C95" s="1168"/>
    </row>
    <row r="96" spans="1:46" x14ac:dyDescent="0.25">
      <c r="T96" s="230">
        <v>0</v>
      </c>
    </row>
    <row r="97" spans="20:20" x14ac:dyDescent="0.25">
      <c r="T97" s="230">
        <v>84450</v>
      </c>
    </row>
    <row r="98" spans="20:20" x14ac:dyDescent="0.25">
      <c r="T98" s="230">
        <v>43123</v>
      </c>
    </row>
    <row r="99" spans="20:20" x14ac:dyDescent="0.25">
      <c r="T99" s="230">
        <v>0</v>
      </c>
    </row>
    <row r="100" spans="20:20" x14ac:dyDescent="0.25">
      <c r="T100" s="230">
        <v>0</v>
      </c>
    </row>
    <row r="101" spans="20:20" x14ac:dyDescent="0.25">
      <c r="T101" s="230">
        <v>0</v>
      </c>
    </row>
    <row r="102" spans="20:20" x14ac:dyDescent="0.25">
      <c r="T102" s="230">
        <v>0</v>
      </c>
    </row>
    <row r="103" spans="20:20" x14ac:dyDescent="0.25">
      <c r="T103" s="230">
        <v>0</v>
      </c>
    </row>
    <row r="104" spans="20:20" x14ac:dyDescent="0.25">
      <c r="T104" s="230">
        <v>0</v>
      </c>
    </row>
    <row r="105" spans="20:20" x14ac:dyDescent="0.25">
      <c r="T105" s="230">
        <v>0</v>
      </c>
    </row>
    <row r="106" spans="20:20" x14ac:dyDescent="0.25">
      <c r="T106" s="230">
        <v>0</v>
      </c>
    </row>
    <row r="107" spans="20:20" x14ac:dyDescent="0.25">
      <c r="T107" s="230">
        <v>0</v>
      </c>
    </row>
    <row r="108" spans="20:20" x14ac:dyDescent="0.25">
      <c r="T108" s="230">
        <v>829133</v>
      </c>
    </row>
    <row r="109" spans="20:20" x14ac:dyDescent="0.25">
      <c r="T109" s="757">
        <v>45000</v>
      </c>
    </row>
    <row r="110" spans="20:20" x14ac:dyDescent="0.25">
      <c r="T110" s="230">
        <v>33315</v>
      </c>
    </row>
    <row r="111" spans="20:20" x14ac:dyDescent="0.25">
      <c r="T111" s="230">
        <v>0</v>
      </c>
    </row>
    <row r="112" spans="20:20" x14ac:dyDescent="0.25">
      <c r="T112" s="230">
        <v>0</v>
      </c>
    </row>
    <row r="113" spans="20:20" x14ac:dyDescent="0.25">
      <c r="T113" s="230">
        <v>0</v>
      </c>
    </row>
    <row r="114" spans="20:20" x14ac:dyDescent="0.25">
      <c r="T114" s="230">
        <v>0</v>
      </c>
    </row>
    <row r="115" spans="20:20" x14ac:dyDescent="0.25">
      <c r="T115" s="230">
        <v>0</v>
      </c>
    </row>
    <row r="116" spans="20:20" x14ac:dyDescent="0.25">
      <c r="T116" s="230">
        <v>0</v>
      </c>
    </row>
    <row r="117" spans="20:20" x14ac:dyDescent="0.25">
      <c r="T117" s="230">
        <v>214800</v>
      </c>
    </row>
    <row r="118" spans="20:20" x14ac:dyDescent="0.25">
      <c r="T118" s="230">
        <v>0</v>
      </c>
    </row>
    <row r="119" spans="20:20" x14ac:dyDescent="0.25">
      <c r="T119" s="230">
        <v>0</v>
      </c>
    </row>
    <row r="120" spans="20:20" x14ac:dyDescent="0.25">
      <c r="T120" s="230">
        <v>26700</v>
      </c>
    </row>
    <row r="121" spans="20:20" x14ac:dyDescent="0.25">
      <c r="T121" s="230">
        <v>0</v>
      </c>
    </row>
    <row r="122" spans="20:20" x14ac:dyDescent="0.25">
      <c r="T122" s="230">
        <v>23935</v>
      </c>
    </row>
    <row r="123" spans="20:20" x14ac:dyDescent="0.25">
      <c r="T123" s="230">
        <v>86463</v>
      </c>
    </row>
    <row r="124" spans="20:20" x14ac:dyDescent="0.25">
      <c r="T124" s="230">
        <v>0</v>
      </c>
    </row>
    <row r="125" spans="20:20" x14ac:dyDescent="0.25">
      <c r="T125" s="230">
        <v>0</v>
      </c>
    </row>
    <row r="126" spans="20:20" x14ac:dyDescent="0.25">
      <c r="T126" s="230">
        <v>0</v>
      </c>
    </row>
    <row r="127" spans="20:20" x14ac:dyDescent="0.25">
      <c r="T127" s="230">
        <v>0</v>
      </c>
    </row>
    <row r="128" spans="20:20" x14ac:dyDescent="0.25">
      <c r="T128" s="757">
        <v>1500</v>
      </c>
    </row>
    <row r="129" spans="20:20" x14ac:dyDescent="0.25">
      <c r="T129" s="230">
        <v>26004</v>
      </c>
    </row>
    <row r="130" spans="20:20" x14ac:dyDescent="0.25">
      <c r="T130" s="230">
        <v>0</v>
      </c>
    </row>
    <row r="131" spans="20:20" x14ac:dyDescent="0.25">
      <c r="T131" s="230">
        <v>18200</v>
      </c>
    </row>
    <row r="132" spans="20:20" x14ac:dyDescent="0.25">
      <c r="T132" s="230">
        <v>0</v>
      </c>
    </row>
    <row r="133" spans="20:20" x14ac:dyDescent="0.25">
      <c r="T133" s="757">
        <v>14795</v>
      </c>
    </row>
  </sheetData>
  <mergeCells count="2">
    <mergeCell ref="A2:F2"/>
    <mergeCell ref="A3:F3"/>
  </mergeCells>
  <phoneticPr fontId="0" type="noConversion"/>
  <printOptions horizontalCentered="1"/>
  <pageMargins left="0.25" right="0.25" top="0.75" bottom="0.75" header="0.3" footer="0.3"/>
  <pageSetup paperSize="5" scale="77" fitToWidth="0" orientation="portrait" r:id="rId1"/>
  <headerFooter>
    <oddHeader>&amp;RPAGE 2</oddHeader>
    <oddFooter>&amp;C&amp;F&amp;RPAGE 2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O58"/>
  <sheetViews>
    <sheetView workbookViewId="0">
      <selection activeCell="O1" sqref="O1:O3"/>
    </sheetView>
  </sheetViews>
  <sheetFormatPr defaultRowHeight="15" x14ac:dyDescent="0.25"/>
  <cols>
    <col min="1" max="1" width="22.140625" customWidth="1"/>
    <col min="2" max="2" width="59" bestFit="1" customWidth="1"/>
    <col min="3" max="3" width="22.85546875" style="76" hidden="1" customWidth="1"/>
    <col min="4" max="4" width="24.140625" style="76" hidden="1" customWidth="1"/>
    <col min="5" max="5" width="19.42578125" style="76" hidden="1" customWidth="1"/>
    <col min="6" max="6" width="15.7109375" style="76" hidden="1" customWidth="1"/>
    <col min="7" max="7" width="18.5703125" style="85" hidden="1" customWidth="1"/>
    <col min="8" max="8" width="18.5703125" hidden="1" customWidth="1"/>
    <col min="9" max="9" width="13.140625" hidden="1" customWidth="1"/>
    <col min="10" max="10" width="18.140625" hidden="1" customWidth="1"/>
    <col min="11" max="11" width="17.42578125" hidden="1" customWidth="1"/>
    <col min="12" max="12" width="18.28515625" hidden="1" customWidth="1"/>
    <col min="13" max="13" width="20.28515625" style="76" customWidth="1"/>
    <col min="14" max="14" width="20.85546875" style="204" bestFit="1" customWidth="1"/>
    <col min="15" max="15" width="20.85546875" style="1555" customWidth="1"/>
  </cols>
  <sheetData>
    <row r="1" spans="1:15" ht="22.5" x14ac:dyDescent="0.4">
      <c r="A1" s="266"/>
      <c r="B1" s="268" t="s">
        <v>485</v>
      </c>
      <c r="C1" s="417"/>
      <c r="D1" s="417"/>
      <c r="E1" s="417"/>
      <c r="F1" s="1004"/>
      <c r="G1" s="738"/>
      <c r="H1" s="738"/>
      <c r="I1" s="738"/>
      <c r="J1" s="738"/>
      <c r="K1" s="738"/>
      <c r="M1" s="739"/>
      <c r="N1" s="739"/>
      <c r="O1" s="739"/>
    </row>
    <row r="2" spans="1:15" ht="22.5" x14ac:dyDescent="0.4">
      <c r="A2" s="267"/>
      <c r="B2" s="200" t="s">
        <v>1155</v>
      </c>
      <c r="C2" s="418"/>
      <c r="D2" s="418"/>
      <c r="E2" s="418"/>
      <c r="F2" s="1032"/>
      <c r="G2" s="739"/>
      <c r="H2" s="739"/>
      <c r="I2" s="739"/>
      <c r="J2" s="739"/>
      <c r="K2" s="739"/>
      <c r="M2" s="739"/>
      <c r="N2" s="739"/>
      <c r="O2" s="739"/>
    </row>
    <row r="3" spans="1:15" ht="23.25" thickBot="1" x14ac:dyDescent="0.45">
      <c r="A3" s="440"/>
      <c r="B3" s="282" t="s">
        <v>1107</v>
      </c>
      <c r="C3" s="418"/>
      <c r="D3" s="418"/>
      <c r="E3" s="418"/>
      <c r="F3" s="418"/>
      <c r="G3" s="739"/>
      <c r="H3" s="739"/>
      <c r="I3" s="739"/>
      <c r="J3" s="739"/>
      <c r="K3" s="739"/>
      <c r="M3" s="739"/>
      <c r="N3" s="739"/>
      <c r="O3" s="739"/>
    </row>
    <row r="4" spans="1:15" ht="72" customHeight="1" thickBot="1" x14ac:dyDescent="0.45">
      <c r="A4" s="980" t="s">
        <v>631</v>
      </c>
      <c r="B4" s="980" t="s">
        <v>810</v>
      </c>
      <c r="C4" s="325" t="s">
        <v>852</v>
      </c>
      <c r="D4" s="819" t="s">
        <v>870</v>
      </c>
      <c r="E4" s="1006" t="s">
        <v>797</v>
      </c>
      <c r="F4" s="551" t="s">
        <v>944</v>
      </c>
      <c r="G4" s="1312" t="s">
        <v>978</v>
      </c>
      <c r="H4" s="1312" t="s">
        <v>798</v>
      </c>
      <c r="I4" s="1312" t="s">
        <v>942</v>
      </c>
      <c r="J4" s="1312" t="s">
        <v>986</v>
      </c>
      <c r="K4" s="1312" t="s">
        <v>943</v>
      </c>
      <c r="L4" s="1588" t="s">
        <v>1014</v>
      </c>
      <c r="M4" s="1588" t="s">
        <v>1124</v>
      </c>
      <c r="N4" s="1836" t="s">
        <v>1128</v>
      </c>
      <c r="O4" s="1528" t="s">
        <v>1109</v>
      </c>
    </row>
    <row r="5" spans="1:15" s="65" customFormat="1" ht="20.100000000000001" customHeight="1" x14ac:dyDescent="0.35">
      <c r="A5" s="73">
        <v>35000</v>
      </c>
      <c r="B5" s="74" t="s">
        <v>519</v>
      </c>
      <c r="C5" s="77"/>
      <c r="D5" s="67">
        <v>159895.15</v>
      </c>
      <c r="E5" s="67"/>
      <c r="F5" s="77"/>
      <c r="G5" s="94"/>
      <c r="M5" s="77">
        <v>100000</v>
      </c>
      <c r="N5" s="1779">
        <v>29489</v>
      </c>
      <c r="O5" s="1786">
        <v>29489</v>
      </c>
    </row>
    <row r="6" spans="1:15" s="65" customFormat="1" ht="20.100000000000001" customHeight="1" x14ac:dyDescent="0.35">
      <c r="A6" s="73">
        <v>44300</v>
      </c>
      <c r="B6" s="74" t="s">
        <v>821</v>
      </c>
      <c r="C6" s="77"/>
      <c r="D6" s="67"/>
      <c r="E6" s="67"/>
      <c r="F6" s="77">
        <f>D6</f>
        <v>0</v>
      </c>
      <c r="G6" s="94"/>
      <c r="M6" s="77"/>
      <c r="N6" s="1780"/>
      <c r="O6" s="1787"/>
    </row>
    <row r="7" spans="1:15" s="65" customFormat="1" ht="20.100000000000001" customHeight="1" x14ac:dyDescent="0.35">
      <c r="A7" s="73" t="s">
        <v>706</v>
      </c>
      <c r="B7" s="74" t="s">
        <v>707</v>
      </c>
      <c r="C7" s="312">
        <v>40000</v>
      </c>
      <c r="D7" s="312">
        <f>[31]Sheet1!$Q$180</f>
        <v>124163.26</v>
      </c>
      <c r="E7" s="67">
        <f>C7-D7</f>
        <v>-84163.26</v>
      </c>
      <c r="F7" s="312">
        <f>40000+164000</f>
        <v>204000</v>
      </c>
      <c r="G7" s="314">
        <f>76278.05+50934.16+4064.34</f>
        <v>131276.55000000002</v>
      </c>
      <c r="H7" s="94">
        <f>G7-F7</f>
        <v>-72723.449999999983</v>
      </c>
      <c r="I7" s="65">
        <v>154000</v>
      </c>
      <c r="J7" s="65">
        <f>I7</f>
        <v>154000</v>
      </c>
      <c r="K7" s="65">
        <f>J7</f>
        <v>154000</v>
      </c>
      <c r="M7" s="77">
        <v>100000</v>
      </c>
      <c r="N7" s="1780">
        <f>[29]Sheet1!$P$180+[29]Sheet1!$R$180</f>
        <v>305185.21999999997</v>
      </c>
      <c r="O7" s="1787">
        <v>197145</v>
      </c>
    </row>
    <row r="8" spans="1:15" s="65" customFormat="1" ht="20.100000000000001" customHeight="1" x14ac:dyDescent="0.35">
      <c r="A8" s="101" t="s">
        <v>612</v>
      </c>
      <c r="B8" s="74" t="s">
        <v>613</v>
      </c>
      <c r="C8" s="312">
        <v>31000</v>
      </c>
      <c r="D8" s="312">
        <f>[31]Sheet1!$M$180</f>
        <v>4798</v>
      </c>
      <c r="E8" s="67">
        <f>C8-D8</f>
        <v>26202</v>
      </c>
      <c r="F8" s="312">
        <v>30000</v>
      </c>
      <c r="G8" s="314">
        <f>2000+17603.53+5798</f>
        <v>25401.53</v>
      </c>
      <c r="H8" s="94">
        <f>G8-F8</f>
        <v>-4598.4700000000012</v>
      </c>
      <c r="I8" s="65">
        <v>30000</v>
      </c>
      <c r="J8" s="65">
        <f t="shared" ref="J8:J9" si="0">I8</f>
        <v>30000</v>
      </c>
      <c r="K8" s="65">
        <f>J8</f>
        <v>30000</v>
      </c>
      <c r="M8" s="77">
        <v>30000</v>
      </c>
      <c r="N8" s="1780">
        <f>[29]Sheet1!$N$180</f>
        <v>12798</v>
      </c>
      <c r="O8" s="1787">
        <v>12798</v>
      </c>
    </row>
    <row r="9" spans="1:15" s="65" customFormat="1" ht="20.100000000000001" customHeight="1" x14ac:dyDescent="0.35">
      <c r="A9" s="73" t="s">
        <v>791</v>
      </c>
      <c r="B9" s="74" t="s">
        <v>792</v>
      </c>
      <c r="C9" s="312">
        <v>50</v>
      </c>
      <c r="D9" s="312">
        <f>[31]Sheet1!$W$180</f>
        <v>111.414</v>
      </c>
      <c r="E9" s="67"/>
      <c r="F9" s="312"/>
      <c r="G9" s="314"/>
      <c r="I9" s="65">
        <f>35194+50</f>
        <v>35244</v>
      </c>
      <c r="J9" s="65">
        <f t="shared" si="0"/>
        <v>35244</v>
      </c>
      <c r="K9" s="65">
        <f>J9</f>
        <v>35244</v>
      </c>
      <c r="M9" s="77">
        <v>20000</v>
      </c>
      <c r="N9" s="1780">
        <f>[29]Sheet1!$X$180+[29]Sheet1!$AA$180</f>
        <v>208.33999999999997</v>
      </c>
      <c r="O9" s="1787">
        <v>208</v>
      </c>
    </row>
    <row r="10" spans="1:15" s="65" customFormat="1" ht="18.75" thickBot="1" x14ac:dyDescent="0.4">
      <c r="A10" s="149"/>
      <c r="B10" s="150" t="s">
        <v>582</v>
      </c>
      <c r="C10" s="111">
        <f>SUM(C7:C9)</f>
        <v>71050</v>
      </c>
      <c r="D10" s="111">
        <f>SUM(D5:D9)</f>
        <v>288967.82399999996</v>
      </c>
      <c r="E10" s="111">
        <f>SUM(E5:E9)</f>
        <v>-57961.259999999995</v>
      </c>
      <c r="F10" s="111">
        <f>SUM(F5:F9)</f>
        <v>234000</v>
      </c>
      <c r="G10" s="111">
        <f t="shared" ref="G10:O10" si="1">SUM(G5:G9)</f>
        <v>156678.08000000002</v>
      </c>
      <c r="H10" s="111">
        <f t="shared" si="1"/>
        <v>-77321.919999999984</v>
      </c>
      <c r="I10" s="111">
        <f t="shared" si="1"/>
        <v>219244</v>
      </c>
      <c r="J10" s="111">
        <f t="shared" si="1"/>
        <v>219244</v>
      </c>
      <c r="K10" s="111">
        <f t="shared" si="1"/>
        <v>219244</v>
      </c>
      <c r="M10" s="111">
        <f t="shared" si="1"/>
        <v>250000</v>
      </c>
      <c r="N10" s="1781">
        <f t="shared" si="1"/>
        <v>347680.56</v>
      </c>
      <c r="O10" s="1781">
        <f t="shared" si="1"/>
        <v>239640</v>
      </c>
    </row>
    <row r="11" spans="1:15" s="65" customFormat="1" ht="18.75" thickTop="1" x14ac:dyDescent="0.35">
      <c r="A11" s="151"/>
      <c r="B11" s="152"/>
      <c r="C11" s="77"/>
      <c r="D11" s="77"/>
      <c r="E11" s="77"/>
      <c r="F11" s="77"/>
      <c r="G11" s="94"/>
      <c r="M11" s="77"/>
      <c r="N11" s="1782"/>
      <c r="O11" s="1788"/>
    </row>
    <row r="12" spans="1:15" s="65" customFormat="1" ht="18" x14ac:dyDescent="0.35">
      <c r="A12" s="153" t="s">
        <v>583</v>
      </c>
      <c r="B12" s="74"/>
      <c r="C12" s="77"/>
      <c r="D12" s="77"/>
      <c r="E12" s="77"/>
      <c r="F12" s="77"/>
      <c r="G12" s="94"/>
      <c r="M12" s="77"/>
      <c r="N12" s="1779"/>
      <c r="O12" s="1788"/>
    </row>
    <row r="13" spans="1:15" s="65" customFormat="1" ht="18" x14ac:dyDescent="0.35">
      <c r="A13" s="73">
        <v>61100</v>
      </c>
      <c r="B13" s="80" t="s">
        <v>484</v>
      </c>
      <c r="C13" s="77">
        <v>35000</v>
      </c>
      <c r="D13" s="67">
        <f>2163.65+12000</f>
        <v>14163.65</v>
      </c>
      <c r="E13" s="67">
        <f>D13-C13</f>
        <v>-20836.349999999999</v>
      </c>
      <c r="F13" s="77">
        <v>2500</v>
      </c>
      <c r="G13" s="94"/>
      <c r="I13" s="65">
        <v>24061</v>
      </c>
      <c r="J13" s="65">
        <f>I13</f>
        <v>24061</v>
      </c>
      <c r="K13" s="65">
        <f>J13</f>
        <v>24061</v>
      </c>
      <c r="M13" s="77">
        <v>43305</v>
      </c>
      <c r="N13" s="1780"/>
      <c r="O13" s="1787">
        <v>40000</v>
      </c>
    </row>
    <row r="14" spans="1:15" s="65" customFormat="1" ht="20.100000000000001" customHeight="1" x14ac:dyDescent="0.3">
      <c r="B14" s="65" t="s">
        <v>820</v>
      </c>
      <c r="C14" s="77"/>
      <c r="D14" s="77">
        <v>7000</v>
      </c>
      <c r="E14" s="77"/>
      <c r="F14" s="77"/>
      <c r="M14" s="77"/>
      <c r="N14" s="1780"/>
      <c r="O14" s="1787"/>
    </row>
    <row r="15" spans="1:15" ht="18.75" thickBot="1" x14ac:dyDescent="0.4">
      <c r="A15" s="104"/>
      <c r="B15" s="106" t="s">
        <v>584</v>
      </c>
      <c r="C15" s="1025">
        <f>SUM(C13)</f>
        <v>35000</v>
      </c>
      <c r="D15" s="1025">
        <f>SUM(D13:D14)</f>
        <v>21163.65</v>
      </c>
      <c r="E15" s="1025">
        <f>SUM(E13:E13)</f>
        <v>-20836.349999999999</v>
      </c>
      <c r="F15" s="1025">
        <f>SUM(F13:F13)</f>
        <v>2500</v>
      </c>
      <c r="G15" s="1025">
        <f t="shared" ref="G15:O15" si="2">SUM(G13:G13)</f>
        <v>0</v>
      </c>
      <c r="H15" s="1025">
        <f t="shared" si="2"/>
        <v>0</v>
      </c>
      <c r="I15" s="1025">
        <f t="shared" si="2"/>
        <v>24061</v>
      </c>
      <c r="J15" s="1025">
        <f t="shared" si="2"/>
        <v>24061</v>
      </c>
      <c r="K15" s="1025">
        <f t="shared" si="2"/>
        <v>24061</v>
      </c>
      <c r="M15" s="1025">
        <f t="shared" si="2"/>
        <v>43305</v>
      </c>
      <c r="N15" s="1025">
        <f t="shared" si="2"/>
        <v>0</v>
      </c>
      <c r="O15" s="1025">
        <f t="shared" si="2"/>
        <v>40000</v>
      </c>
    </row>
    <row r="16" spans="1:15" ht="19.5" thickTop="1" thickBot="1" x14ac:dyDescent="0.4">
      <c r="A16" s="64"/>
      <c r="B16" s="134"/>
      <c r="N16" s="1783"/>
    </row>
    <row r="17" spans="1:15" ht="19.5" thickTop="1" thickBot="1" x14ac:dyDescent="0.4">
      <c r="A17" s="155"/>
      <c r="B17" s="156" t="s">
        <v>585</v>
      </c>
      <c r="C17" s="1026">
        <f>C10+C15</f>
        <v>106050</v>
      </c>
      <c r="D17" s="1027">
        <f>D15+D10</f>
        <v>310131.47399999999</v>
      </c>
      <c r="E17" s="1027">
        <f>E15+E10</f>
        <v>-78797.609999999986</v>
      </c>
      <c r="F17" s="1027">
        <f>F15+F10</f>
        <v>236500</v>
      </c>
      <c r="G17" s="1027">
        <f t="shared" ref="G17:O17" si="3">G15+G10</f>
        <v>156678.08000000002</v>
      </c>
      <c r="H17" s="1027">
        <f t="shared" si="3"/>
        <v>-77321.919999999984</v>
      </c>
      <c r="I17" s="1027">
        <f t="shared" si="3"/>
        <v>243305</v>
      </c>
      <c r="J17" s="1027">
        <f t="shared" si="3"/>
        <v>243305</v>
      </c>
      <c r="K17" s="1027">
        <f t="shared" si="3"/>
        <v>243305</v>
      </c>
      <c r="M17" s="1027">
        <f t="shared" si="3"/>
        <v>293305</v>
      </c>
      <c r="N17" s="1027">
        <f t="shared" si="3"/>
        <v>347680.56</v>
      </c>
      <c r="O17" s="1027">
        <f t="shared" si="3"/>
        <v>279640</v>
      </c>
    </row>
    <row r="18" spans="1:15" ht="10.5" customHeight="1" thickTop="1" thickBot="1" x14ac:dyDescent="0.4">
      <c r="A18" s="64"/>
      <c r="B18" s="134"/>
    </row>
    <row r="19" spans="1:15" ht="69.95" customHeight="1" thickBot="1" x14ac:dyDescent="0.4">
      <c r="A19" s="492" t="s">
        <v>631</v>
      </c>
      <c r="B19" s="274" t="s">
        <v>737</v>
      </c>
      <c r="C19" s="325" t="s">
        <v>852</v>
      </c>
      <c r="D19" s="819" t="s">
        <v>870</v>
      </c>
      <c r="E19" s="1006" t="s">
        <v>797</v>
      </c>
      <c r="F19" s="551" t="s">
        <v>944</v>
      </c>
      <c r="G19" s="1312" t="s">
        <v>977</v>
      </c>
      <c r="H19" s="1312" t="s">
        <v>798</v>
      </c>
      <c r="I19" s="1312" t="s">
        <v>942</v>
      </c>
      <c r="J19" s="1312" t="s">
        <v>986</v>
      </c>
      <c r="K19" s="1312" t="s">
        <v>943</v>
      </c>
      <c r="M19" s="1588" t="s">
        <v>1124</v>
      </c>
      <c r="N19" s="1836" t="s">
        <v>1128</v>
      </c>
      <c r="O19" s="1528" t="s">
        <v>1109</v>
      </c>
    </row>
    <row r="20" spans="1:15" ht="18.75" thickBot="1" x14ac:dyDescent="0.4">
      <c r="A20" s="154" t="s">
        <v>568</v>
      </c>
    </row>
    <row r="21" spans="1:15" ht="20.100000000000001" customHeight="1" x14ac:dyDescent="0.3">
      <c r="A21" s="297">
        <v>113</v>
      </c>
      <c r="B21" s="298" t="s">
        <v>486</v>
      </c>
      <c r="C21" s="485">
        <v>47169</v>
      </c>
      <c r="D21" s="485">
        <v>45088.9</v>
      </c>
      <c r="E21" s="1028">
        <f>C21-D21</f>
        <v>2080.0999999999985</v>
      </c>
      <c r="F21" s="326">
        <v>48763</v>
      </c>
      <c r="G21" s="815">
        <v>46887</v>
      </c>
      <c r="H21" s="85">
        <f>F21-G21</f>
        <v>1876</v>
      </c>
      <c r="I21" s="326">
        <v>48763</v>
      </c>
      <c r="J21" s="158">
        <f>I21</f>
        <v>48763</v>
      </c>
      <c r="K21" s="432">
        <f>J21</f>
        <v>48763</v>
      </c>
      <c r="L21" s="963"/>
      <c r="M21" s="432">
        <f>K21</f>
        <v>48763</v>
      </c>
      <c r="N21" s="1784">
        <f>[36]Sheet1!$B$161</f>
        <v>49319.555000000008</v>
      </c>
      <c r="O21" s="1789">
        <v>49320</v>
      </c>
    </row>
    <row r="22" spans="1:15" ht="20.100000000000001" customHeight="1" x14ac:dyDescent="0.3">
      <c r="A22" s="301">
        <v>121</v>
      </c>
      <c r="B22" s="302" t="s">
        <v>103</v>
      </c>
      <c r="C22" s="303">
        <v>2018</v>
      </c>
      <c r="D22" s="303">
        <v>2826.96</v>
      </c>
      <c r="E22" s="1029">
        <f>C22-D22</f>
        <v>-808.96</v>
      </c>
      <c r="F22" s="185">
        <v>3063</v>
      </c>
      <c r="G22" s="816">
        <v>2541.5</v>
      </c>
      <c r="H22" s="85">
        <f>F22-G22</f>
        <v>521.5</v>
      </c>
      <c r="I22" s="185">
        <v>3063</v>
      </c>
      <c r="J22" s="158">
        <f t="shared" ref="J22:J55" si="4">I22</f>
        <v>3063</v>
      </c>
      <c r="K22" s="345">
        <f>J22</f>
        <v>3063</v>
      </c>
      <c r="L22" s="430"/>
      <c r="M22" s="345">
        <f t="shared" ref="M22:M54" si="5">K22</f>
        <v>3063</v>
      </c>
      <c r="N22" s="1784">
        <f>[36]Sheet1!$C$161</f>
        <v>2349.0859999999998</v>
      </c>
      <c r="O22" s="1789">
        <v>2500</v>
      </c>
    </row>
    <row r="23" spans="1:15" ht="20.100000000000001" customHeight="1" x14ac:dyDescent="0.3">
      <c r="A23" s="301">
        <v>122</v>
      </c>
      <c r="B23" s="302" t="s">
        <v>104</v>
      </c>
      <c r="C23" s="303">
        <v>352</v>
      </c>
      <c r="D23" s="303">
        <v>458.4</v>
      </c>
      <c r="E23" s="1029">
        <f t="shared" ref="E23:E55" si="6">C23-D23</f>
        <v>-106.39999999999998</v>
      </c>
      <c r="F23" s="185">
        <v>459</v>
      </c>
      <c r="G23" s="816">
        <v>500.48</v>
      </c>
      <c r="H23" s="85">
        <f t="shared" ref="H23:H56" si="7">F23-G23</f>
        <v>-41.480000000000018</v>
      </c>
      <c r="I23" s="185">
        <v>550</v>
      </c>
      <c r="J23" s="158">
        <f t="shared" si="4"/>
        <v>550</v>
      </c>
      <c r="K23" s="345">
        <f>J23</f>
        <v>550</v>
      </c>
      <c r="L23" s="430"/>
      <c r="M23" s="345">
        <f t="shared" si="5"/>
        <v>550</v>
      </c>
      <c r="N23" s="1784">
        <f>[36]Sheet1!$D$161</f>
        <v>511.54700000000003</v>
      </c>
      <c r="O23" s="1789">
        <v>550</v>
      </c>
    </row>
    <row r="24" spans="1:15" ht="20.100000000000001" customHeight="1" x14ac:dyDescent="0.3">
      <c r="A24" s="301">
        <v>123</v>
      </c>
      <c r="B24" s="302" t="s">
        <v>105</v>
      </c>
      <c r="C24" s="303">
        <v>72</v>
      </c>
      <c r="D24" s="303">
        <v>59.95</v>
      </c>
      <c r="E24" s="1029">
        <f t="shared" si="6"/>
        <v>12.049999999999997</v>
      </c>
      <c r="F24" s="185">
        <v>72</v>
      </c>
      <c r="G24" s="816">
        <v>65.400000000000006</v>
      </c>
      <c r="H24" s="85">
        <f t="shared" si="7"/>
        <v>6.5999999999999943</v>
      </c>
      <c r="I24" s="185">
        <v>72</v>
      </c>
      <c r="J24" s="158">
        <f t="shared" si="4"/>
        <v>72</v>
      </c>
      <c r="K24" s="345">
        <f>J24</f>
        <v>72</v>
      </c>
      <c r="L24" s="430"/>
      <c r="M24" s="345">
        <f t="shared" si="5"/>
        <v>72</v>
      </c>
      <c r="N24" s="1784">
        <f>[36]Sheet1!$E$161</f>
        <v>54.07</v>
      </c>
      <c r="O24" s="1789">
        <v>70</v>
      </c>
    </row>
    <row r="25" spans="1:15" ht="20.100000000000001" customHeight="1" x14ac:dyDescent="0.3">
      <c r="A25" s="301">
        <v>124</v>
      </c>
      <c r="B25" s="302" t="s">
        <v>418</v>
      </c>
      <c r="C25" s="303">
        <v>3609</v>
      </c>
      <c r="D25" s="303">
        <v>2898.98</v>
      </c>
      <c r="E25" s="1029">
        <f t="shared" si="6"/>
        <v>710.02</v>
      </c>
      <c r="F25" s="185">
        <v>3731</v>
      </c>
      <c r="G25" s="816">
        <v>3175.15</v>
      </c>
      <c r="H25" s="85">
        <f t="shared" si="7"/>
        <v>555.84999999999991</v>
      </c>
      <c r="I25" s="185">
        <v>3731</v>
      </c>
      <c r="J25" s="158">
        <f t="shared" si="4"/>
        <v>3731</v>
      </c>
      <c r="K25" s="345">
        <f>J25</f>
        <v>3731</v>
      </c>
      <c r="L25" s="430"/>
      <c r="M25" s="345">
        <f t="shared" si="5"/>
        <v>3731</v>
      </c>
      <c r="N25" s="1784">
        <f>[36]Sheet1!$F$161</f>
        <v>2988.857</v>
      </c>
      <c r="O25" s="1789">
        <v>3250</v>
      </c>
    </row>
    <row r="26" spans="1:15" ht="20.100000000000001" customHeight="1" x14ac:dyDescent="0.3">
      <c r="A26" s="301">
        <v>125</v>
      </c>
      <c r="B26" s="302" t="s">
        <v>896</v>
      </c>
      <c r="C26" s="303"/>
      <c r="D26" s="303">
        <v>1314.44</v>
      </c>
      <c r="E26" s="1029"/>
      <c r="F26" s="185"/>
      <c r="G26" s="816">
        <v>1307.2</v>
      </c>
      <c r="H26" s="85">
        <f t="shared" si="7"/>
        <v>-1307.2</v>
      </c>
      <c r="I26" s="185">
        <v>1307</v>
      </c>
      <c r="J26" s="158">
        <f t="shared" si="4"/>
        <v>1307</v>
      </c>
      <c r="K26" s="345">
        <f>J26</f>
        <v>1307</v>
      </c>
      <c r="L26" s="430"/>
      <c r="M26" s="345">
        <f t="shared" si="5"/>
        <v>1307</v>
      </c>
      <c r="N26" s="1784">
        <f>[36]Sheet1!$G$161</f>
        <v>2962.98</v>
      </c>
      <c r="O26" s="1789">
        <v>3000</v>
      </c>
    </row>
    <row r="27" spans="1:15" ht="20.100000000000001" customHeight="1" x14ac:dyDescent="0.3">
      <c r="A27" s="301">
        <v>153</v>
      </c>
      <c r="B27" s="302" t="s">
        <v>402</v>
      </c>
      <c r="C27" s="303"/>
      <c r="D27" s="303"/>
      <c r="E27" s="1029">
        <f t="shared" si="6"/>
        <v>0</v>
      </c>
      <c r="F27" s="185"/>
      <c r="G27" s="816"/>
      <c r="H27" s="85">
        <f t="shared" si="7"/>
        <v>0</v>
      </c>
      <c r="I27" s="185"/>
      <c r="J27" s="158">
        <f t="shared" si="4"/>
        <v>0</v>
      </c>
      <c r="K27" s="430"/>
      <c r="L27" s="430"/>
      <c r="M27" s="345">
        <f t="shared" si="5"/>
        <v>0</v>
      </c>
      <c r="N27" s="1784"/>
      <c r="O27" s="1789"/>
    </row>
    <row r="28" spans="1:15" ht="20.100000000000001" customHeight="1" x14ac:dyDescent="0.3">
      <c r="A28" s="301">
        <v>154</v>
      </c>
      <c r="B28" s="302" t="s">
        <v>119</v>
      </c>
      <c r="C28" s="303"/>
      <c r="D28" s="303"/>
      <c r="E28" s="1029"/>
      <c r="F28" s="185"/>
      <c r="G28" s="816"/>
      <c r="H28" s="85"/>
      <c r="I28" s="185"/>
      <c r="J28" s="158">
        <v>2500</v>
      </c>
      <c r="K28" s="345">
        <f>J28</f>
        <v>2500</v>
      </c>
      <c r="L28" s="430"/>
      <c r="M28" s="345">
        <f t="shared" si="5"/>
        <v>2500</v>
      </c>
      <c r="N28" s="1784"/>
      <c r="O28" s="1789">
        <v>1250</v>
      </c>
    </row>
    <row r="29" spans="1:15" ht="20.100000000000001" customHeight="1" x14ac:dyDescent="0.3">
      <c r="A29" s="301">
        <v>163</v>
      </c>
      <c r="B29" s="302" t="s">
        <v>487</v>
      </c>
      <c r="C29" s="303">
        <v>7500</v>
      </c>
      <c r="D29" s="303"/>
      <c r="E29" s="1029">
        <f t="shared" si="6"/>
        <v>7500</v>
      </c>
      <c r="F29" s="185"/>
      <c r="G29" s="816">
        <v>7800</v>
      </c>
      <c r="H29" s="85">
        <f t="shared" si="7"/>
        <v>-7800</v>
      </c>
      <c r="I29" s="185">
        <v>7800</v>
      </c>
      <c r="J29" s="158">
        <f t="shared" si="4"/>
        <v>7800</v>
      </c>
      <c r="K29" s="345">
        <f>J29</f>
        <v>7800</v>
      </c>
      <c r="L29" s="430"/>
      <c r="M29" s="345">
        <f t="shared" si="5"/>
        <v>7800</v>
      </c>
      <c r="N29" s="1784"/>
      <c r="O29" s="1789">
        <v>5000</v>
      </c>
    </row>
    <row r="30" spans="1:15" ht="20.100000000000001" customHeight="1" x14ac:dyDescent="0.3">
      <c r="A30" s="301">
        <v>165</v>
      </c>
      <c r="B30" s="302" t="s">
        <v>897</v>
      </c>
      <c r="C30" s="303"/>
      <c r="D30" s="303">
        <v>5250</v>
      </c>
      <c r="E30" s="1029"/>
      <c r="F30" s="185"/>
      <c r="G30" s="816"/>
      <c r="H30" s="85">
        <f t="shared" si="7"/>
        <v>0</v>
      </c>
      <c r="I30" s="185"/>
      <c r="J30" s="158">
        <f t="shared" si="4"/>
        <v>0</v>
      </c>
      <c r="K30" s="430"/>
      <c r="L30" s="430"/>
      <c r="M30" s="345">
        <f t="shared" si="5"/>
        <v>0</v>
      </c>
      <c r="N30" s="1784">
        <f>[36]Sheet1!$I$161</f>
        <v>68434.83</v>
      </c>
      <c r="O30" s="1789">
        <v>25000</v>
      </c>
    </row>
    <row r="31" spans="1:15" ht="20.100000000000001" customHeight="1" x14ac:dyDescent="0.3">
      <c r="A31" s="301">
        <v>167</v>
      </c>
      <c r="B31" s="302" t="s">
        <v>391</v>
      </c>
      <c r="C31" s="303"/>
      <c r="D31" s="303"/>
      <c r="E31" s="1029"/>
      <c r="F31" s="185"/>
      <c r="G31" s="816"/>
      <c r="H31" s="85"/>
      <c r="I31" s="185"/>
      <c r="J31" s="158"/>
      <c r="K31" s="430"/>
      <c r="L31" s="430"/>
      <c r="M31" s="345"/>
      <c r="N31" s="1784">
        <f>[36]Sheet1!$J$161</f>
        <v>159.9</v>
      </c>
      <c r="O31" s="1789">
        <v>150</v>
      </c>
    </row>
    <row r="32" spans="1:15" ht="20.100000000000001" customHeight="1" x14ac:dyDescent="0.3">
      <c r="A32" s="301">
        <v>170</v>
      </c>
      <c r="B32" s="302" t="s">
        <v>384</v>
      </c>
      <c r="C32" s="303"/>
      <c r="D32" s="303"/>
      <c r="E32" s="1029"/>
      <c r="F32" s="185"/>
      <c r="G32" s="816"/>
      <c r="H32" s="85"/>
      <c r="I32" s="185"/>
      <c r="J32" s="158"/>
      <c r="K32" s="430"/>
      <c r="L32" s="430"/>
      <c r="M32" s="345"/>
      <c r="N32" s="1784"/>
      <c r="O32" s="1789">
        <v>250</v>
      </c>
    </row>
    <row r="33" spans="1:15" ht="20.100000000000001" customHeight="1" x14ac:dyDescent="0.3">
      <c r="A33" s="301">
        <v>171</v>
      </c>
      <c r="B33" s="302" t="s">
        <v>1129</v>
      </c>
      <c r="C33" s="303">
        <v>100</v>
      </c>
      <c r="D33" s="303">
        <f>99+150</f>
        <v>249</v>
      </c>
      <c r="E33" s="1029">
        <f t="shared" si="6"/>
        <v>-149</v>
      </c>
      <c r="F33" s="185">
        <v>100</v>
      </c>
      <c r="G33" s="816">
        <v>440</v>
      </c>
      <c r="H33" s="85">
        <f t="shared" si="7"/>
        <v>-340</v>
      </c>
      <c r="I33" s="185">
        <v>440</v>
      </c>
      <c r="J33" s="158">
        <f t="shared" si="4"/>
        <v>440</v>
      </c>
      <c r="K33" s="345">
        <f>J33</f>
        <v>440</v>
      </c>
      <c r="L33" s="430"/>
      <c r="M33" s="345">
        <f t="shared" si="5"/>
        <v>440</v>
      </c>
      <c r="N33" s="1784">
        <v>1000</v>
      </c>
      <c r="O33" s="1789">
        <v>1000</v>
      </c>
    </row>
    <row r="34" spans="1:15" ht="20.100000000000001" customHeight="1" x14ac:dyDescent="0.3">
      <c r="A34" s="301">
        <v>199</v>
      </c>
      <c r="B34" s="302" t="s">
        <v>312</v>
      </c>
      <c r="C34" s="303"/>
      <c r="D34" s="303"/>
      <c r="E34" s="1029"/>
      <c r="F34" s="185"/>
      <c r="G34" s="816"/>
      <c r="H34" s="85"/>
      <c r="I34" s="185"/>
      <c r="J34" s="158"/>
      <c r="K34" s="345"/>
      <c r="L34" s="430"/>
      <c r="M34" s="345"/>
      <c r="N34" s="1784">
        <f>[36]Sheet1!$N$161</f>
        <v>7495</v>
      </c>
      <c r="O34" s="1789">
        <v>7500</v>
      </c>
    </row>
    <row r="35" spans="1:15" ht="20.100000000000001" customHeight="1" x14ac:dyDescent="0.3">
      <c r="A35" s="352">
        <v>211</v>
      </c>
      <c r="B35" s="299" t="s">
        <v>409</v>
      </c>
      <c r="C35" s="303">
        <v>150</v>
      </c>
      <c r="D35" s="303"/>
      <c r="E35" s="1029">
        <f t="shared" si="6"/>
        <v>150</v>
      </c>
      <c r="F35" s="185">
        <v>500</v>
      </c>
      <c r="G35" s="816">
        <f>6.13+468.06</f>
        <v>474.19</v>
      </c>
      <c r="H35" s="85">
        <f t="shared" si="7"/>
        <v>25.810000000000002</v>
      </c>
      <c r="I35" s="185">
        <v>500</v>
      </c>
      <c r="J35" s="158">
        <f t="shared" si="4"/>
        <v>500</v>
      </c>
      <c r="K35" s="345">
        <f>J35</f>
        <v>500</v>
      </c>
      <c r="L35" s="430"/>
      <c r="M35" s="345">
        <f t="shared" si="5"/>
        <v>500</v>
      </c>
      <c r="N35" s="1784">
        <f>[36]Sheet1!$O$161</f>
        <v>21.89</v>
      </c>
      <c r="O35" s="1789">
        <v>150</v>
      </c>
    </row>
    <row r="36" spans="1:15" ht="20.100000000000001" customHeight="1" x14ac:dyDescent="0.3">
      <c r="A36" s="352">
        <v>212</v>
      </c>
      <c r="B36" s="299" t="s">
        <v>704</v>
      </c>
      <c r="C36" s="303">
        <v>400</v>
      </c>
      <c r="D36" s="303">
        <v>195.59</v>
      </c>
      <c r="E36" s="1029">
        <f t="shared" si="6"/>
        <v>204.41</v>
      </c>
      <c r="F36" s="185">
        <v>200</v>
      </c>
      <c r="G36" s="816">
        <v>70</v>
      </c>
      <c r="H36" s="85">
        <f t="shared" si="7"/>
        <v>130</v>
      </c>
      <c r="I36" s="185">
        <v>0</v>
      </c>
      <c r="J36" s="158">
        <f t="shared" si="4"/>
        <v>0</v>
      </c>
      <c r="K36" s="430"/>
      <c r="L36" s="430"/>
      <c r="M36" s="345">
        <f t="shared" si="5"/>
        <v>0</v>
      </c>
      <c r="N36" s="1784">
        <f>[36]Sheet1!$P$161</f>
        <v>387.78999999999996</v>
      </c>
      <c r="O36" s="1789">
        <v>400</v>
      </c>
    </row>
    <row r="37" spans="1:15" ht="20.100000000000001" customHeight="1" x14ac:dyDescent="0.3">
      <c r="A37" s="352">
        <v>219</v>
      </c>
      <c r="B37" s="299" t="s">
        <v>705</v>
      </c>
      <c r="C37" s="303"/>
      <c r="D37" s="303">
        <v>12000</v>
      </c>
      <c r="E37" s="1029">
        <f t="shared" si="6"/>
        <v>-12000</v>
      </c>
      <c r="F37" s="185"/>
      <c r="G37" s="816"/>
      <c r="H37" s="85">
        <f t="shared" si="7"/>
        <v>0</v>
      </c>
      <c r="I37" s="185"/>
      <c r="J37" s="158">
        <f t="shared" si="4"/>
        <v>0</v>
      </c>
      <c r="K37" s="430"/>
      <c r="L37" s="430"/>
      <c r="M37" s="345">
        <f t="shared" si="5"/>
        <v>0</v>
      </c>
      <c r="N37" s="1784">
        <f>[36]Sheet1!$R$161</f>
        <v>3233.14</v>
      </c>
      <c r="O37" s="1789">
        <v>3300</v>
      </c>
    </row>
    <row r="38" spans="1:15" ht="20.100000000000001" customHeight="1" x14ac:dyDescent="0.3">
      <c r="A38" s="352">
        <v>220</v>
      </c>
      <c r="B38" s="299" t="s">
        <v>358</v>
      </c>
      <c r="C38" s="303"/>
      <c r="D38" s="303"/>
      <c r="E38" s="1029"/>
      <c r="F38" s="185"/>
      <c r="G38" s="816">
        <f>2410+960.03+2400</f>
        <v>5770.03</v>
      </c>
      <c r="H38" s="85">
        <f t="shared" si="7"/>
        <v>-5770.03</v>
      </c>
      <c r="I38" s="185">
        <v>6000</v>
      </c>
      <c r="J38" s="158">
        <f t="shared" si="4"/>
        <v>6000</v>
      </c>
      <c r="K38" s="345">
        <f>J38</f>
        <v>6000</v>
      </c>
      <c r="L38" s="430"/>
      <c r="M38" s="345">
        <f t="shared" si="5"/>
        <v>6000</v>
      </c>
      <c r="N38" s="1784">
        <f>[36]Sheet1!$S$161</f>
        <v>1761.4700000000003</v>
      </c>
      <c r="O38" s="1789">
        <v>2000</v>
      </c>
    </row>
    <row r="39" spans="1:15" ht="20.100000000000001" customHeight="1" x14ac:dyDescent="0.3">
      <c r="A39" s="352">
        <v>231</v>
      </c>
      <c r="B39" s="299" t="s">
        <v>647</v>
      </c>
      <c r="C39" s="303"/>
      <c r="D39" s="303"/>
      <c r="E39" s="1029">
        <f t="shared" si="6"/>
        <v>0</v>
      </c>
      <c r="F39" s="185"/>
      <c r="G39" s="816"/>
      <c r="H39" s="85">
        <f t="shared" si="7"/>
        <v>0</v>
      </c>
      <c r="I39" s="185"/>
      <c r="J39" s="158">
        <f t="shared" si="4"/>
        <v>0</v>
      </c>
      <c r="K39" s="430"/>
      <c r="L39" s="430"/>
      <c r="M39" s="345">
        <f t="shared" si="5"/>
        <v>0</v>
      </c>
      <c r="N39" s="1784">
        <f>[36]Sheet1!$T$161</f>
        <v>4450</v>
      </c>
      <c r="O39" s="1789">
        <v>1500</v>
      </c>
    </row>
    <row r="40" spans="1:15" ht="20.100000000000001" customHeight="1" x14ac:dyDescent="0.3">
      <c r="A40" s="493" t="s">
        <v>304</v>
      </c>
      <c r="B40" s="302" t="s">
        <v>316</v>
      </c>
      <c r="C40" s="303">
        <v>1800</v>
      </c>
      <c r="D40" s="303">
        <v>3153.41</v>
      </c>
      <c r="E40" s="1029">
        <f t="shared" si="6"/>
        <v>-1353.4099999999999</v>
      </c>
      <c r="F40" s="185">
        <v>2750</v>
      </c>
      <c r="G40" s="816">
        <v>2705</v>
      </c>
      <c r="H40" s="85">
        <f t="shared" si="7"/>
        <v>45</v>
      </c>
      <c r="I40" s="185">
        <v>2700</v>
      </c>
      <c r="J40" s="158">
        <f t="shared" si="4"/>
        <v>2700</v>
      </c>
      <c r="K40" s="345">
        <f>J40</f>
        <v>2700</v>
      </c>
      <c r="L40" s="430"/>
      <c r="M40" s="345">
        <f t="shared" si="5"/>
        <v>2700</v>
      </c>
      <c r="N40" s="1784">
        <f>[36]Sheet1!$U$161</f>
        <v>2754.15</v>
      </c>
      <c r="O40" s="1789">
        <v>3000</v>
      </c>
    </row>
    <row r="41" spans="1:15" ht="20.100000000000001" customHeight="1" x14ac:dyDescent="0.3">
      <c r="A41" s="493">
        <v>250</v>
      </c>
      <c r="B41" s="302" t="s">
        <v>649</v>
      </c>
      <c r="C41" s="303">
        <v>700</v>
      </c>
      <c r="D41" s="303">
        <v>1073.08</v>
      </c>
      <c r="E41" s="1029">
        <f t="shared" si="6"/>
        <v>-373.07999999999993</v>
      </c>
      <c r="F41" s="185">
        <v>1200</v>
      </c>
      <c r="G41" s="816">
        <v>2220.3000000000002</v>
      </c>
      <c r="H41" s="85">
        <f t="shared" si="7"/>
        <v>-1020.3000000000002</v>
      </c>
      <c r="I41" s="185">
        <v>600</v>
      </c>
      <c r="J41" s="158">
        <f t="shared" si="4"/>
        <v>600</v>
      </c>
      <c r="K41" s="345">
        <f>J41</f>
        <v>600</v>
      </c>
      <c r="L41" s="430"/>
      <c r="M41" s="345">
        <f t="shared" si="5"/>
        <v>600</v>
      </c>
      <c r="N41" s="1784">
        <f>[36]Sheet1!$V$161</f>
        <v>53.55</v>
      </c>
      <c r="O41" s="1789">
        <v>250</v>
      </c>
    </row>
    <row r="42" spans="1:15" ht="20.100000000000001" customHeight="1" x14ac:dyDescent="0.3">
      <c r="A42" s="301">
        <v>251</v>
      </c>
      <c r="B42" s="302" t="s">
        <v>98</v>
      </c>
      <c r="C42" s="303">
        <v>3700</v>
      </c>
      <c r="D42" s="303">
        <v>3599.05</v>
      </c>
      <c r="E42" s="1029">
        <f t="shared" si="6"/>
        <v>100.94999999999982</v>
      </c>
      <c r="F42" s="185">
        <v>4000</v>
      </c>
      <c r="G42" s="816">
        <v>3067.95</v>
      </c>
      <c r="H42" s="85">
        <f t="shared" si="7"/>
        <v>932.05000000000018</v>
      </c>
      <c r="I42" s="185">
        <v>2000</v>
      </c>
      <c r="J42" s="158">
        <f t="shared" si="4"/>
        <v>2000</v>
      </c>
      <c r="K42" s="345">
        <f>J42</f>
        <v>2000</v>
      </c>
      <c r="L42" s="430"/>
      <c r="M42" s="345">
        <f t="shared" si="5"/>
        <v>2000</v>
      </c>
      <c r="N42" s="1784">
        <f>[36]Sheet1!$W$161</f>
        <v>2110.9199999999996</v>
      </c>
      <c r="O42" s="1789">
        <v>2000</v>
      </c>
    </row>
    <row r="43" spans="1:15" ht="20.100000000000001" customHeight="1" x14ac:dyDescent="0.3">
      <c r="A43" s="301">
        <v>252</v>
      </c>
      <c r="B43" s="302" t="s">
        <v>113</v>
      </c>
      <c r="C43" s="303">
        <v>25</v>
      </c>
      <c r="D43" s="303">
        <v>8.34</v>
      </c>
      <c r="E43" s="1029">
        <f t="shared" si="6"/>
        <v>16.66</v>
      </c>
      <c r="F43" s="185">
        <v>25</v>
      </c>
      <c r="G43" s="816"/>
      <c r="H43" s="85">
        <f t="shared" si="7"/>
        <v>25</v>
      </c>
      <c r="I43" s="185">
        <v>25</v>
      </c>
      <c r="J43" s="158">
        <f t="shared" si="4"/>
        <v>25</v>
      </c>
      <c r="K43" s="345">
        <f>J43</f>
        <v>25</v>
      </c>
      <c r="L43" s="430"/>
      <c r="M43" s="345">
        <f t="shared" si="5"/>
        <v>25</v>
      </c>
      <c r="N43" s="1784"/>
      <c r="O43" s="1789">
        <v>25</v>
      </c>
    </row>
    <row r="44" spans="1:15" ht="20.100000000000001" customHeight="1" x14ac:dyDescent="0.3">
      <c r="A44" s="301">
        <v>253</v>
      </c>
      <c r="B44" s="302" t="s">
        <v>694</v>
      </c>
      <c r="C44" s="303"/>
      <c r="D44" s="303"/>
      <c r="E44" s="1029">
        <f t="shared" si="6"/>
        <v>0</v>
      </c>
      <c r="F44" s="185"/>
      <c r="G44" s="816">
        <f>1722+360</f>
        <v>2082</v>
      </c>
      <c r="H44" s="85">
        <f t="shared" si="7"/>
        <v>-2082</v>
      </c>
      <c r="I44" s="185">
        <v>2000</v>
      </c>
      <c r="J44" s="158">
        <f t="shared" si="4"/>
        <v>2000</v>
      </c>
      <c r="K44" s="345">
        <f>J44</f>
        <v>2000</v>
      </c>
      <c r="L44" s="430"/>
      <c r="M44" s="345">
        <f t="shared" si="5"/>
        <v>2000</v>
      </c>
      <c r="N44" s="1784"/>
      <c r="O44" s="1789">
        <v>500</v>
      </c>
    </row>
    <row r="45" spans="1:15" ht="20.100000000000001" customHeight="1" x14ac:dyDescent="0.3">
      <c r="A45" s="301">
        <v>262</v>
      </c>
      <c r="B45" s="302" t="s">
        <v>421</v>
      </c>
      <c r="C45" s="303">
        <v>0</v>
      </c>
      <c r="D45" s="303"/>
      <c r="E45" s="1029">
        <f t="shared" si="6"/>
        <v>0</v>
      </c>
      <c r="F45" s="185"/>
      <c r="G45" s="816"/>
      <c r="H45" s="85">
        <f t="shared" si="7"/>
        <v>0</v>
      </c>
      <c r="I45" s="185"/>
      <c r="J45" s="158">
        <f t="shared" si="4"/>
        <v>0</v>
      </c>
      <c r="K45" s="430"/>
      <c r="L45" s="430"/>
      <c r="M45" s="345">
        <f t="shared" si="5"/>
        <v>0</v>
      </c>
      <c r="N45" s="1784"/>
      <c r="O45" s="1789">
        <v>250</v>
      </c>
    </row>
    <row r="46" spans="1:15" ht="20.100000000000001" customHeight="1" x14ac:dyDescent="0.3">
      <c r="A46" s="301">
        <v>263</v>
      </c>
      <c r="B46" s="302" t="s">
        <v>679</v>
      </c>
      <c r="C46" s="303">
        <v>850</v>
      </c>
      <c r="D46" s="303">
        <v>900.37</v>
      </c>
      <c r="E46" s="1029">
        <f t="shared" si="6"/>
        <v>-50.370000000000005</v>
      </c>
      <c r="F46" s="185">
        <v>850</v>
      </c>
      <c r="G46" s="816"/>
      <c r="H46" s="85">
        <f t="shared" si="7"/>
        <v>850</v>
      </c>
      <c r="I46" s="185">
        <v>450</v>
      </c>
      <c r="J46" s="158">
        <f t="shared" si="4"/>
        <v>450</v>
      </c>
      <c r="K46" s="345">
        <f t="shared" ref="K46:K53" si="8">J46</f>
        <v>450</v>
      </c>
      <c r="L46" s="430"/>
      <c r="M46" s="345">
        <f t="shared" si="5"/>
        <v>450</v>
      </c>
      <c r="N46" s="1784"/>
      <c r="O46" s="1789">
        <v>450</v>
      </c>
    </row>
    <row r="47" spans="1:15" ht="20.100000000000001" customHeight="1" x14ac:dyDescent="0.3">
      <c r="A47" s="301">
        <v>264</v>
      </c>
      <c r="B47" s="302" t="s">
        <v>488</v>
      </c>
      <c r="C47" s="303">
        <v>3500</v>
      </c>
      <c r="D47" s="303">
        <v>9039.65</v>
      </c>
      <c r="E47" s="1029">
        <f t="shared" si="6"/>
        <v>-5539.65</v>
      </c>
      <c r="F47" s="185">
        <v>3500</v>
      </c>
      <c r="G47" s="816">
        <v>5833.97</v>
      </c>
      <c r="H47" s="85">
        <f t="shared" si="7"/>
        <v>-2333.9700000000003</v>
      </c>
      <c r="I47" s="185">
        <v>6000</v>
      </c>
      <c r="J47" s="158">
        <f t="shared" si="4"/>
        <v>6000</v>
      </c>
      <c r="K47" s="345">
        <f t="shared" si="8"/>
        <v>6000</v>
      </c>
      <c r="L47" s="430"/>
      <c r="M47" s="345">
        <f t="shared" si="5"/>
        <v>6000</v>
      </c>
      <c r="N47" s="1784">
        <f>[36]Sheet1!$AB$161</f>
        <v>1902.4899999999998</v>
      </c>
      <c r="O47" s="1789">
        <v>6000</v>
      </c>
    </row>
    <row r="48" spans="1:15" ht="20.100000000000001" customHeight="1" x14ac:dyDescent="0.3">
      <c r="A48" s="301">
        <v>265</v>
      </c>
      <c r="B48" s="302" t="s">
        <v>680</v>
      </c>
      <c r="C48" s="303">
        <v>500</v>
      </c>
      <c r="D48" s="303">
        <v>930</v>
      </c>
      <c r="E48" s="1029">
        <f t="shared" si="6"/>
        <v>-430</v>
      </c>
      <c r="F48" s="185">
        <v>825</v>
      </c>
      <c r="G48" s="816">
        <v>400</v>
      </c>
      <c r="H48" s="85">
        <f t="shared" si="7"/>
        <v>425</v>
      </c>
      <c r="I48" s="185">
        <v>825</v>
      </c>
      <c r="J48" s="158">
        <f t="shared" si="4"/>
        <v>825</v>
      </c>
      <c r="K48" s="345">
        <f t="shared" si="8"/>
        <v>825</v>
      </c>
      <c r="L48" s="430"/>
      <c r="M48" s="345">
        <f t="shared" si="5"/>
        <v>825</v>
      </c>
      <c r="N48" s="1784">
        <f>[36]Sheet1!$AC$161</f>
        <v>925</v>
      </c>
      <c r="O48" s="1789">
        <v>925</v>
      </c>
    </row>
    <row r="49" spans="1:15" ht="20.100000000000001" customHeight="1" x14ac:dyDescent="0.3">
      <c r="A49" s="301">
        <v>269</v>
      </c>
      <c r="B49" s="302" t="s">
        <v>681</v>
      </c>
      <c r="C49" s="303">
        <v>100</v>
      </c>
      <c r="D49" s="303">
        <v>777.5</v>
      </c>
      <c r="E49" s="1029">
        <f t="shared" si="6"/>
        <v>-677.5</v>
      </c>
      <c r="F49" s="185">
        <v>100</v>
      </c>
      <c r="G49" s="816">
        <v>476.79</v>
      </c>
      <c r="H49" s="85">
        <f t="shared" si="7"/>
        <v>-376.79</v>
      </c>
      <c r="I49" s="185">
        <v>100</v>
      </c>
      <c r="J49" s="158">
        <f t="shared" si="4"/>
        <v>100</v>
      </c>
      <c r="K49" s="345">
        <f t="shared" si="8"/>
        <v>100</v>
      </c>
      <c r="L49" s="430"/>
      <c r="M49" s="345">
        <f t="shared" si="5"/>
        <v>100</v>
      </c>
      <c r="N49" s="1784">
        <f>[36]Sheet1!$AD$161</f>
        <v>17.5</v>
      </c>
      <c r="O49" s="1789">
        <v>50</v>
      </c>
    </row>
    <row r="50" spans="1:15" ht="20.100000000000001" customHeight="1" x14ac:dyDescent="0.3">
      <c r="A50" s="301">
        <v>274</v>
      </c>
      <c r="B50" s="302" t="s">
        <v>321</v>
      </c>
      <c r="C50" s="303"/>
      <c r="D50" s="303"/>
      <c r="E50" s="1029"/>
      <c r="F50" s="185"/>
      <c r="G50" s="816">
        <v>3050.25</v>
      </c>
      <c r="H50" s="85">
        <f t="shared" si="7"/>
        <v>-3050.25</v>
      </c>
      <c r="I50" s="185">
        <v>3050</v>
      </c>
      <c r="J50" s="158">
        <f t="shared" si="4"/>
        <v>3050</v>
      </c>
      <c r="K50" s="345">
        <f t="shared" si="8"/>
        <v>3050</v>
      </c>
      <c r="L50" s="430"/>
      <c r="M50" s="345">
        <f t="shared" si="5"/>
        <v>3050</v>
      </c>
      <c r="N50" s="1784">
        <f>[36]Sheet1!$AE$161</f>
        <v>3225.63</v>
      </c>
      <c r="O50" s="1789">
        <v>3500</v>
      </c>
    </row>
    <row r="51" spans="1:15" ht="20.100000000000001" customHeight="1" x14ac:dyDescent="0.3">
      <c r="A51" s="301">
        <v>297</v>
      </c>
      <c r="B51" s="302" t="s">
        <v>682</v>
      </c>
      <c r="C51" s="303"/>
      <c r="D51" s="303"/>
      <c r="E51" s="1029">
        <f t="shared" si="6"/>
        <v>0</v>
      </c>
      <c r="F51" s="185"/>
      <c r="G51" s="816">
        <v>523.75</v>
      </c>
      <c r="H51" s="85">
        <f t="shared" si="7"/>
        <v>-523.75</v>
      </c>
      <c r="I51" s="185">
        <v>523</v>
      </c>
      <c r="J51" s="158">
        <f t="shared" si="4"/>
        <v>523</v>
      </c>
      <c r="K51" s="345">
        <f t="shared" si="8"/>
        <v>523</v>
      </c>
      <c r="L51" s="430"/>
      <c r="M51" s="345">
        <f t="shared" si="5"/>
        <v>523</v>
      </c>
      <c r="N51" s="1784"/>
      <c r="O51" s="1789">
        <v>500</v>
      </c>
    </row>
    <row r="52" spans="1:15" ht="20.100000000000001" customHeight="1" x14ac:dyDescent="0.3">
      <c r="A52" s="352">
        <v>499</v>
      </c>
      <c r="B52" s="299" t="s">
        <v>898</v>
      </c>
      <c r="C52" s="300">
        <v>250</v>
      </c>
      <c r="D52" s="300">
        <v>20761.2</v>
      </c>
      <c r="E52" s="1296">
        <f t="shared" si="6"/>
        <v>-20511.2</v>
      </c>
      <c r="F52" s="188">
        <v>250</v>
      </c>
      <c r="G52" s="1033"/>
      <c r="H52" s="85">
        <f t="shared" si="7"/>
        <v>250</v>
      </c>
      <c r="I52" s="188">
        <v>250</v>
      </c>
      <c r="J52" s="158">
        <f t="shared" si="4"/>
        <v>250</v>
      </c>
      <c r="K52" s="345">
        <f t="shared" si="8"/>
        <v>250</v>
      </c>
      <c r="L52" s="430"/>
      <c r="M52" s="345">
        <f t="shared" si="5"/>
        <v>250</v>
      </c>
      <c r="N52" s="1784">
        <f>[36]Sheet1!$AG$161</f>
        <v>1753</v>
      </c>
      <c r="O52" s="1789">
        <v>2000</v>
      </c>
    </row>
    <row r="53" spans="1:15" ht="20.100000000000001" customHeight="1" x14ac:dyDescent="0.3">
      <c r="A53" s="301">
        <v>470</v>
      </c>
      <c r="B53" s="302" t="s">
        <v>628</v>
      </c>
      <c r="C53" s="303"/>
      <c r="D53" s="303"/>
      <c r="E53" s="1029">
        <f t="shared" si="6"/>
        <v>0</v>
      </c>
      <c r="F53" s="185">
        <v>7000</v>
      </c>
      <c r="G53" s="816"/>
      <c r="H53" s="85">
        <f t="shared" si="7"/>
        <v>7000</v>
      </c>
      <c r="I53" s="185">
        <f>4556-2000</f>
        <v>2556</v>
      </c>
      <c r="J53" s="158">
        <f>I53-2500</f>
        <v>56</v>
      </c>
      <c r="K53" s="345">
        <f t="shared" si="8"/>
        <v>56</v>
      </c>
      <c r="L53" s="430"/>
      <c r="M53" s="345">
        <f t="shared" si="5"/>
        <v>56</v>
      </c>
      <c r="N53" s="1784">
        <f>[36]Sheet1!$AF$161</f>
        <v>3562.46</v>
      </c>
      <c r="O53" s="1789">
        <v>4000</v>
      </c>
    </row>
    <row r="54" spans="1:15" ht="20.100000000000001" customHeight="1" x14ac:dyDescent="0.3">
      <c r="A54" s="301">
        <v>500</v>
      </c>
      <c r="B54" s="302" t="s">
        <v>397</v>
      </c>
      <c r="C54" s="303"/>
      <c r="D54" s="303"/>
      <c r="E54" s="1029">
        <f t="shared" si="6"/>
        <v>0</v>
      </c>
      <c r="F54" s="185"/>
      <c r="G54" s="816"/>
      <c r="H54" s="85">
        <f t="shared" si="7"/>
        <v>0</v>
      </c>
      <c r="I54" s="185"/>
      <c r="J54" s="158">
        <f t="shared" si="4"/>
        <v>0</v>
      </c>
      <c r="K54" s="430"/>
      <c r="L54" s="430"/>
      <c r="M54" s="345">
        <f t="shared" si="5"/>
        <v>0</v>
      </c>
      <c r="N54" s="1784"/>
      <c r="O54" s="1789"/>
    </row>
    <row r="55" spans="1:15" ht="20.100000000000001" customHeight="1" thickBot="1" x14ac:dyDescent="0.35">
      <c r="A55" s="494" t="s">
        <v>1130</v>
      </c>
      <c r="B55" s="305" t="s">
        <v>1131</v>
      </c>
      <c r="C55" s="306">
        <v>33255</v>
      </c>
      <c r="D55" s="306">
        <v>199934.76</v>
      </c>
      <c r="E55" s="1029">
        <f t="shared" si="6"/>
        <v>-166679.76</v>
      </c>
      <c r="F55" s="193">
        <v>159112</v>
      </c>
      <c r="G55" s="817"/>
      <c r="H55" s="85">
        <f t="shared" si="7"/>
        <v>159112</v>
      </c>
      <c r="I55" s="193">
        <v>150000</v>
      </c>
      <c r="J55" s="158">
        <f t="shared" si="4"/>
        <v>150000</v>
      </c>
      <c r="K55" s="421">
        <f>J55</f>
        <v>150000</v>
      </c>
      <c r="L55" s="916"/>
      <c r="M55" s="421">
        <v>200000</v>
      </c>
      <c r="N55" s="1785">
        <f>[36]Sheet1!$AH$161+[36]Sheet1!$AI$161</f>
        <v>96650.45</v>
      </c>
      <c r="O55" s="1790">
        <v>150000</v>
      </c>
    </row>
    <row r="56" spans="1:15" ht="18.75" thickBot="1" x14ac:dyDescent="0.4">
      <c r="A56" s="495"/>
      <c r="B56" s="496" t="s">
        <v>586</v>
      </c>
      <c r="C56" s="1030">
        <f>SUM(C21:C55)</f>
        <v>106050</v>
      </c>
      <c r="D56" s="1031">
        <f>SUM(D21:D55)</f>
        <v>310519.58</v>
      </c>
      <c r="E56" s="1031">
        <f>SUM(E21:E55)</f>
        <v>-197905.14</v>
      </c>
      <c r="F56" s="1031">
        <f>SUM(F21:F55)</f>
        <v>236500</v>
      </c>
      <c r="G56" s="740">
        <f>SUM(G21:G55)</f>
        <v>89390.96</v>
      </c>
      <c r="H56" s="85">
        <f t="shared" si="7"/>
        <v>147109.03999999998</v>
      </c>
      <c r="I56" s="1031">
        <f>SUM(I21:I55)</f>
        <v>243305</v>
      </c>
      <c r="J56" s="1031">
        <f>SUM(J21:J55)</f>
        <v>243305</v>
      </c>
      <c r="K56" s="1030">
        <f>SUM(K21:K55)</f>
        <v>243305</v>
      </c>
      <c r="L56" s="1617"/>
      <c r="M56" s="1030">
        <f>SUM(M21:M55)</f>
        <v>293305</v>
      </c>
      <c r="N56" s="1030">
        <f>SUM(N21:N55)</f>
        <v>258085.26500000001</v>
      </c>
      <c r="O56" s="1030">
        <f>SUM(O21:O55)</f>
        <v>279640</v>
      </c>
    </row>
    <row r="57" spans="1:15" ht="15.75" thickTop="1" x14ac:dyDescent="0.25"/>
    <row r="58" spans="1:15" ht="15.75" x14ac:dyDescent="0.3">
      <c r="B58" s="95"/>
      <c r="C58" s="76" t="s">
        <v>910</v>
      </c>
      <c r="I58" s="76">
        <f>I56-I17</f>
        <v>0</v>
      </c>
      <c r="J58" s="76"/>
    </row>
  </sheetData>
  <phoneticPr fontId="20" type="noConversion"/>
  <pageMargins left="0.75" right="0.75" top="1" bottom="1" header="0.5" footer="0.5"/>
  <pageSetup paperSize="5" scale="62" fitToHeight="0" orientation="portrait" r:id="rId1"/>
  <headerFooter alignWithMargins="0">
    <oddHeader xml:space="preserve">&amp;RPAGE 39
</oddHeader>
    <oddFooter>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C2:O42"/>
  <sheetViews>
    <sheetView topLeftCell="A2" workbookViewId="0">
      <selection activeCell="C2" sqref="C2:N31"/>
    </sheetView>
  </sheetViews>
  <sheetFormatPr defaultRowHeight="15" x14ac:dyDescent="0.25"/>
  <cols>
    <col min="3" max="3" width="17.42578125" customWidth="1"/>
    <col min="4" max="4" width="43.42578125" customWidth="1"/>
    <col min="5" max="5" width="16.42578125" hidden="1" customWidth="1"/>
    <col min="6" max="6" width="21.85546875" style="76" hidden="1" customWidth="1"/>
    <col min="7" max="7" width="19.85546875" style="76" hidden="1" customWidth="1"/>
    <col min="8" max="8" width="15.28515625" style="76" hidden="1" customWidth="1"/>
    <col min="9" max="9" width="17.28515625" hidden="1" customWidth="1"/>
    <col min="10" max="10" width="15.140625" style="76" hidden="1" customWidth="1"/>
    <col min="11" max="11" width="17.140625" hidden="1" customWidth="1"/>
    <col min="12" max="12" width="21.85546875" customWidth="1"/>
    <col min="13" max="13" width="22" style="76" bestFit="1" customWidth="1"/>
    <col min="14" max="14" width="15.28515625" customWidth="1"/>
  </cols>
  <sheetData>
    <row r="2" spans="3:15" ht="22.5" x14ac:dyDescent="0.4">
      <c r="C2" s="269"/>
      <c r="D2" s="269" t="s">
        <v>489</v>
      </c>
      <c r="E2" s="1"/>
      <c r="F2" s="2"/>
      <c r="G2" s="183"/>
      <c r="H2" s="183"/>
      <c r="I2" s="183"/>
      <c r="J2" s="183"/>
      <c r="K2" s="183"/>
      <c r="L2" s="186"/>
      <c r="M2" s="186"/>
      <c r="N2" s="186"/>
    </row>
    <row r="3" spans="3:15" ht="22.5" x14ac:dyDescent="0.4">
      <c r="C3" s="263"/>
      <c r="D3" s="1297" t="s">
        <v>1155</v>
      </c>
      <c r="E3" s="3"/>
      <c r="F3" s="5"/>
      <c r="G3" s="186"/>
      <c r="H3" s="186"/>
      <c r="I3" s="186"/>
      <c r="J3" s="186"/>
      <c r="K3" s="186"/>
      <c r="L3" s="186"/>
      <c r="M3" s="186"/>
      <c r="N3" s="186"/>
    </row>
    <row r="4" spans="3:15" ht="22.5" x14ac:dyDescent="0.4">
      <c r="C4" s="263"/>
      <c r="D4" s="1297" t="s">
        <v>1107</v>
      </c>
      <c r="E4" s="3"/>
      <c r="F4" s="5"/>
      <c r="G4" s="1531"/>
      <c r="H4" s="186"/>
      <c r="I4" s="186"/>
      <c r="J4" s="186"/>
      <c r="K4" s="186"/>
      <c r="L4" s="186"/>
      <c r="M4" s="186"/>
      <c r="N4" s="186"/>
    </row>
    <row r="5" spans="3:15" ht="15.75" thickBot="1" x14ac:dyDescent="0.3">
      <c r="D5" s="64"/>
    </row>
    <row r="6" spans="3:15" ht="45" customHeight="1" thickBot="1" x14ac:dyDescent="0.35">
      <c r="C6" s="1415" t="s">
        <v>567</v>
      </c>
      <c r="D6" s="1344"/>
      <c r="E6" s="775" t="s">
        <v>805</v>
      </c>
      <c r="F6" s="969" t="s">
        <v>899</v>
      </c>
      <c r="G6" s="551" t="s">
        <v>944</v>
      </c>
      <c r="H6" s="1428" t="s">
        <v>990</v>
      </c>
      <c r="I6" s="1312" t="s">
        <v>798</v>
      </c>
      <c r="J6" s="1428" t="s">
        <v>942</v>
      </c>
      <c r="K6" s="1312" t="s">
        <v>943</v>
      </c>
      <c r="L6" s="1588" t="s">
        <v>1124</v>
      </c>
      <c r="M6" s="551" t="s">
        <v>1133</v>
      </c>
      <c r="N6" s="1775" t="s">
        <v>1132</v>
      </c>
    </row>
    <row r="7" spans="3:15" ht="15.75" x14ac:dyDescent="0.3">
      <c r="C7" s="74">
        <v>45411</v>
      </c>
      <c r="D7" s="74" t="s">
        <v>491</v>
      </c>
      <c r="E7" s="76">
        <f>(905*200)+(9*50)-27218</f>
        <v>154232</v>
      </c>
      <c r="F7" s="76">
        <v>153562.12</v>
      </c>
      <c r="G7" s="76">
        <v>154000</v>
      </c>
      <c r="H7" s="1555">
        <v>198440</v>
      </c>
      <c r="I7" s="76">
        <f>H7-G7</f>
        <v>44440</v>
      </c>
      <c r="J7" s="76">
        <v>198440</v>
      </c>
      <c r="K7" s="76">
        <v>198440</v>
      </c>
      <c r="L7" s="76">
        <v>198440</v>
      </c>
      <c r="M7" s="1555">
        <f>46020+75+46080+46440+46780</f>
        <v>185395</v>
      </c>
      <c r="N7" s="1555">
        <f>185395-23635</f>
        <v>161760</v>
      </c>
      <c r="O7" t="s">
        <v>423</v>
      </c>
    </row>
    <row r="8" spans="3:15" ht="15.75" x14ac:dyDescent="0.3">
      <c r="C8" s="178">
        <v>45410</v>
      </c>
      <c r="D8" s="74" t="s">
        <v>614</v>
      </c>
      <c r="E8" s="76">
        <v>300</v>
      </c>
      <c r="F8" s="76">
        <v>1213</v>
      </c>
      <c r="G8" s="76">
        <v>1200</v>
      </c>
      <c r="H8" s="1555">
        <v>660</v>
      </c>
      <c r="I8" s="76">
        <f>H8-G8</f>
        <v>-540</v>
      </c>
      <c r="J8" s="76">
        <v>660</v>
      </c>
      <c r="K8" s="76">
        <v>1200</v>
      </c>
      <c r="L8" s="76">
        <v>1200</v>
      </c>
      <c r="M8" s="76">
        <f>55+55+220+110</f>
        <v>440</v>
      </c>
      <c r="N8" s="1555">
        <v>440</v>
      </c>
    </row>
    <row r="9" spans="3:15" ht="15.75" x14ac:dyDescent="0.3">
      <c r="C9" s="74">
        <v>47100</v>
      </c>
      <c r="D9" s="74" t="s">
        <v>365</v>
      </c>
      <c r="E9" s="76"/>
      <c r="K9" s="76"/>
      <c r="N9" s="1504"/>
    </row>
    <row r="10" spans="3:15" ht="15.75" x14ac:dyDescent="0.3">
      <c r="C10" s="74">
        <v>61161</v>
      </c>
      <c r="D10" s="74" t="s">
        <v>778</v>
      </c>
      <c r="E10" s="76">
        <v>3000</v>
      </c>
      <c r="F10" s="76">
        <v>41746.92</v>
      </c>
      <c r="G10" s="76">
        <v>125200</v>
      </c>
      <c r="H10" s="76">
        <v>38215.449999999997</v>
      </c>
      <c r="I10" s="76">
        <f>H10-G10</f>
        <v>-86984.55</v>
      </c>
      <c r="J10" s="76">
        <v>41190</v>
      </c>
      <c r="K10" s="76">
        <v>20000</v>
      </c>
      <c r="L10" s="76">
        <v>30000</v>
      </c>
      <c r="M10" s="76">
        <v>30000</v>
      </c>
      <c r="N10" s="1555">
        <v>40000</v>
      </c>
    </row>
    <row r="11" spans="3:15" ht="16.5" thickBot="1" x14ac:dyDescent="0.35">
      <c r="C11" s="74">
        <v>61161</v>
      </c>
      <c r="D11" s="80" t="s">
        <v>490</v>
      </c>
      <c r="E11" s="76">
        <v>45868</v>
      </c>
      <c r="N11" s="1504"/>
    </row>
    <row r="12" spans="3:15" s="371" customFormat="1" ht="22.5" thickTop="1" thickBot="1" x14ac:dyDescent="0.45">
      <c r="C12" s="1417"/>
      <c r="D12" s="1418" t="s">
        <v>373</v>
      </c>
      <c r="E12" s="414">
        <f>SUM(E7:E11)</f>
        <v>203400</v>
      </c>
      <c r="F12" s="414">
        <f>SUM(F7:F11)</f>
        <v>196522.03999999998</v>
      </c>
      <c r="G12" s="414">
        <f>SUM(G7:G11)</f>
        <v>280400</v>
      </c>
      <c r="H12" s="414">
        <f t="shared" ref="H12:N12" si="0">SUM(H7:H11)</f>
        <v>237315.45</v>
      </c>
      <c r="I12" s="414">
        <f t="shared" si="0"/>
        <v>-43084.55</v>
      </c>
      <c r="J12" s="414">
        <f t="shared" si="0"/>
        <v>240290</v>
      </c>
      <c r="K12" s="414">
        <f t="shared" si="0"/>
        <v>219640</v>
      </c>
      <c r="L12" s="414">
        <f t="shared" si="0"/>
        <v>229640</v>
      </c>
      <c r="M12" s="414">
        <f t="shared" si="0"/>
        <v>215835</v>
      </c>
      <c r="N12" s="1837">
        <f t="shared" si="0"/>
        <v>202200</v>
      </c>
    </row>
    <row r="13" spans="3:15" ht="16.5" thickTop="1" thickBot="1" x14ac:dyDescent="0.3">
      <c r="N13" s="1504"/>
    </row>
    <row r="14" spans="3:15" ht="45" customHeight="1" thickBot="1" x14ac:dyDescent="0.3">
      <c r="C14" s="1416" t="s">
        <v>568</v>
      </c>
      <c r="D14" s="1344"/>
      <c r="G14" s="551" t="s">
        <v>944</v>
      </c>
      <c r="H14" s="1428" t="s">
        <v>990</v>
      </c>
      <c r="I14" s="1312" t="s">
        <v>798</v>
      </c>
      <c r="J14" s="1428" t="s">
        <v>942</v>
      </c>
      <c r="K14" s="1312" t="s">
        <v>943</v>
      </c>
      <c r="L14" s="1588" t="s">
        <v>1124</v>
      </c>
      <c r="M14" s="551" t="s">
        <v>1125</v>
      </c>
      <c r="N14" s="1775" t="s">
        <v>1132</v>
      </c>
    </row>
    <row r="15" spans="3:15" x14ac:dyDescent="0.25">
      <c r="C15" s="1251">
        <v>165</v>
      </c>
      <c r="D15" t="s">
        <v>892</v>
      </c>
      <c r="G15" s="76">
        <v>28000</v>
      </c>
      <c r="H15" s="76">
        <v>7767.5</v>
      </c>
      <c r="J15" s="76">
        <v>8000</v>
      </c>
      <c r="K15" s="76">
        <v>15240</v>
      </c>
      <c r="L15" s="76">
        <v>25240</v>
      </c>
      <c r="N15" s="1504"/>
    </row>
    <row r="16" spans="3:15" ht="15.75" x14ac:dyDescent="0.3">
      <c r="C16" s="73">
        <v>199</v>
      </c>
      <c r="D16" s="74" t="s">
        <v>492</v>
      </c>
      <c r="E16" s="76">
        <v>192000</v>
      </c>
      <c r="F16" s="76">
        <v>144000</v>
      </c>
      <c r="G16" s="76">
        <v>240000</v>
      </c>
      <c r="H16" s="76">
        <f>214000+27000</f>
        <v>241000</v>
      </c>
      <c r="J16" s="76">
        <f>192000+27000</f>
        <v>219000</v>
      </c>
      <c r="K16" s="76">
        <v>192000</v>
      </c>
      <c r="L16" s="76">
        <v>192000</v>
      </c>
      <c r="M16" s="76">
        <v>192000</v>
      </c>
      <c r="N16" s="1555">
        <v>187600</v>
      </c>
    </row>
    <row r="17" spans="3:14" ht="15.75" x14ac:dyDescent="0.3">
      <c r="C17" s="73">
        <v>211</v>
      </c>
      <c r="D17" s="74" t="s">
        <v>409</v>
      </c>
      <c r="E17" s="76">
        <v>1000</v>
      </c>
      <c r="F17" s="76">
        <v>2052.3200000000002</v>
      </c>
      <c r="G17" s="76">
        <v>1000</v>
      </c>
      <c r="H17" s="76">
        <v>2335.48</v>
      </c>
      <c r="J17" s="76">
        <v>1500</v>
      </c>
      <c r="K17" s="76">
        <v>1000</v>
      </c>
      <c r="L17" s="76">
        <v>1000</v>
      </c>
      <c r="M17" s="76">
        <v>500</v>
      </c>
      <c r="N17" s="1555">
        <v>500</v>
      </c>
    </row>
    <row r="18" spans="3:14" ht="15.75" x14ac:dyDescent="0.3">
      <c r="C18" s="73">
        <v>216</v>
      </c>
      <c r="D18" s="74" t="s">
        <v>403</v>
      </c>
      <c r="E18" s="76"/>
      <c r="K18" s="76"/>
      <c r="L18" s="76"/>
      <c r="N18" s="1504"/>
    </row>
    <row r="19" spans="3:14" ht="15.75" x14ac:dyDescent="0.3">
      <c r="C19" s="73">
        <v>219</v>
      </c>
      <c r="D19" s="74" t="s">
        <v>629</v>
      </c>
      <c r="E19" s="76">
        <v>500</v>
      </c>
      <c r="F19" s="76">
        <f>1414+395.93</f>
        <v>1809.93</v>
      </c>
      <c r="G19" s="76">
        <v>500</v>
      </c>
      <c r="H19" s="76">
        <f>758.3+232.6</f>
        <v>990.9</v>
      </c>
      <c r="J19" s="76">
        <v>990</v>
      </c>
      <c r="K19" s="76">
        <v>500</v>
      </c>
      <c r="L19" s="76">
        <v>500</v>
      </c>
      <c r="M19" s="76">
        <v>1924.6</v>
      </c>
      <c r="N19" s="1555">
        <v>2000</v>
      </c>
    </row>
    <row r="20" spans="3:14" ht="15.75" x14ac:dyDescent="0.3">
      <c r="C20" s="73">
        <v>231</v>
      </c>
      <c r="D20" s="74" t="s">
        <v>647</v>
      </c>
      <c r="E20" s="76"/>
      <c r="K20" s="76"/>
      <c r="L20" s="76"/>
      <c r="N20" s="1504"/>
    </row>
    <row r="21" spans="3:14" ht="15.75" x14ac:dyDescent="0.3">
      <c r="C21" s="73">
        <v>235</v>
      </c>
      <c r="D21" s="74" t="s">
        <v>615</v>
      </c>
      <c r="E21" s="76"/>
      <c r="F21" s="76">
        <v>3006.75</v>
      </c>
      <c r="H21" s="76">
        <v>3172.23</v>
      </c>
      <c r="J21" s="76">
        <v>1500</v>
      </c>
      <c r="K21" s="76"/>
      <c r="L21" s="76"/>
      <c r="N21" s="1504"/>
    </row>
    <row r="22" spans="3:14" ht="15.75" x14ac:dyDescent="0.3">
      <c r="C22" s="73">
        <v>240</v>
      </c>
      <c r="D22" s="74" t="s">
        <v>316</v>
      </c>
      <c r="E22" s="76"/>
      <c r="K22" s="76"/>
      <c r="L22" s="76"/>
      <c r="N22" s="1504"/>
    </row>
    <row r="23" spans="3:14" ht="15.75" x14ac:dyDescent="0.3">
      <c r="C23" s="73">
        <v>251</v>
      </c>
      <c r="D23" s="74" t="s">
        <v>98</v>
      </c>
      <c r="E23" s="76"/>
      <c r="K23" s="76"/>
      <c r="L23" s="76"/>
      <c r="N23" s="1504"/>
    </row>
    <row r="24" spans="3:14" ht="15.75" x14ac:dyDescent="0.3">
      <c r="C24" s="73">
        <v>252</v>
      </c>
      <c r="D24" s="74" t="s">
        <v>113</v>
      </c>
      <c r="E24" s="76">
        <v>1500</v>
      </c>
      <c r="F24" s="76">
        <v>462.21</v>
      </c>
      <c r="G24" s="76">
        <v>1500</v>
      </c>
      <c r="H24" s="76">
        <v>417.2</v>
      </c>
      <c r="J24" s="76">
        <v>500</v>
      </c>
      <c r="K24" s="76">
        <v>1500</v>
      </c>
      <c r="L24" s="76">
        <v>1500</v>
      </c>
      <c r="M24" s="76">
        <v>1500</v>
      </c>
      <c r="N24" s="1555">
        <v>1500</v>
      </c>
    </row>
    <row r="25" spans="3:14" ht="15.75" x14ac:dyDescent="0.3">
      <c r="C25" s="101" t="s">
        <v>68</v>
      </c>
      <c r="D25" s="74" t="s">
        <v>793</v>
      </c>
      <c r="E25" s="76"/>
      <c r="H25" s="76">
        <v>238</v>
      </c>
      <c r="K25" s="76"/>
      <c r="L25" s="76"/>
      <c r="N25" s="1504"/>
    </row>
    <row r="26" spans="3:14" ht="15.75" x14ac:dyDescent="0.3">
      <c r="C26" s="73">
        <v>331</v>
      </c>
      <c r="D26" s="80" t="s">
        <v>493</v>
      </c>
      <c r="E26" s="76">
        <v>8200</v>
      </c>
      <c r="F26" s="76">
        <v>9870</v>
      </c>
      <c r="G26" s="76">
        <v>9000</v>
      </c>
      <c r="H26" s="76">
        <f>4950+3920</f>
        <v>8870</v>
      </c>
      <c r="J26" s="76">
        <v>8800</v>
      </c>
      <c r="K26" s="76">
        <v>9000</v>
      </c>
      <c r="L26" s="76">
        <v>9000</v>
      </c>
      <c r="M26" s="76">
        <v>10200</v>
      </c>
      <c r="N26" s="1555">
        <v>10200</v>
      </c>
    </row>
    <row r="27" spans="3:14" ht="16.5" thickBot="1" x14ac:dyDescent="0.35">
      <c r="C27" s="946" t="s">
        <v>123</v>
      </c>
      <c r="D27" s="1421" t="s">
        <v>603</v>
      </c>
      <c r="E27" s="76">
        <v>200</v>
      </c>
      <c r="F27" s="76">
        <v>200</v>
      </c>
      <c r="G27" s="76">
        <v>400</v>
      </c>
      <c r="K27" s="76">
        <v>400</v>
      </c>
      <c r="L27" s="76">
        <v>400</v>
      </c>
      <c r="M27" s="76">
        <v>400</v>
      </c>
      <c r="N27" s="1555">
        <v>400</v>
      </c>
    </row>
    <row r="28" spans="3:14" s="371" customFormat="1" ht="22.5" thickTop="1" thickBot="1" x14ac:dyDescent="0.45">
      <c r="C28" s="1419"/>
      <c r="D28" s="1420" t="s">
        <v>368</v>
      </c>
      <c r="E28" s="414">
        <f>SUM(E16:E27)</f>
        <v>203400</v>
      </c>
      <c r="F28" s="414">
        <f>SUM(F15:F27)</f>
        <v>161401.21</v>
      </c>
      <c r="G28" s="414">
        <f>SUM(G15:G27)</f>
        <v>280400</v>
      </c>
      <c r="H28" s="414">
        <f t="shared" ref="H28:N28" si="1">SUM(H15:H27)</f>
        <v>264791.31000000006</v>
      </c>
      <c r="I28" s="414">
        <f t="shared" si="1"/>
        <v>0</v>
      </c>
      <c r="J28" s="414">
        <f t="shared" si="1"/>
        <v>240290</v>
      </c>
      <c r="K28" s="414">
        <f t="shared" si="1"/>
        <v>219640</v>
      </c>
      <c r="L28" s="414">
        <f t="shared" si="1"/>
        <v>229640</v>
      </c>
      <c r="M28" s="414">
        <f t="shared" si="1"/>
        <v>206524.6</v>
      </c>
      <c r="N28" s="1837">
        <f t="shared" si="1"/>
        <v>202200</v>
      </c>
    </row>
    <row r="29" spans="3:14" ht="15.75" thickTop="1" x14ac:dyDescent="0.25"/>
    <row r="30" spans="3:14" ht="15.75" x14ac:dyDescent="0.3">
      <c r="C30" s="1247" t="s">
        <v>423</v>
      </c>
      <c r="D30" s="1835" t="s">
        <v>1154</v>
      </c>
    </row>
    <row r="31" spans="3:14" x14ac:dyDescent="0.25">
      <c r="C31" s="1504"/>
      <c r="D31" t="s">
        <v>991</v>
      </c>
    </row>
    <row r="32" spans="3:14" x14ac:dyDescent="0.25">
      <c r="C32" s="1504"/>
    </row>
    <row r="33" spans="3:9" x14ac:dyDescent="0.25">
      <c r="D33" t="s">
        <v>992</v>
      </c>
    </row>
    <row r="34" spans="3:9" x14ac:dyDescent="0.25">
      <c r="D34" t="s">
        <v>1001</v>
      </c>
    </row>
    <row r="36" spans="3:9" x14ac:dyDescent="0.25">
      <c r="H36" s="76" t="s">
        <v>999</v>
      </c>
      <c r="I36" t="s">
        <v>1000</v>
      </c>
    </row>
    <row r="37" spans="3:9" x14ac:dyDescent="0.25">
      <c r="C37" t="s">
        <v>993</v>
      </c>
      <c r="D37" s="1557" t="s">
        <v>994</v>
      </c>
      <c r="G37" s="1556">
        <v>1003</v>
      </c>
    </row>
    <row r="38" spans="3:9" x14ac:dyDescent="0.25">
      <c r="D38" s="1834" t="s">
        <v>995</v>
      </c>
      <c r="G38" s="1556"/>
    </row>
    <row r="39" spans="3:9" x14ac:dyDescent="0.25">
      <c r="D39" s="1247" t="s">
        <v>996</v>
      </c>
      <c r="G39" s="1556">
        <v>993</v>
      </c>
      <c r="H39" s="76">
        <v>240</v>
      </c>
      <c r="I39" s="76">
        <f>H39*G39</f>
        <v>238320</v>
      </c>
    </row>
    <row r="40" spans="3:9" x14ac:dyDescent="0.25">
      <c r="D40" s="1247" t="s">
        <v>997</v>
      </c>
      <c r="G40" s="1556">
        <v>9</v>
      </c>
      <c r="H40" s="76">
        <v>60</v>
      </c>
      <c r="I40">
        <f>H40*G40</f>
        <v>540</v>
      </c>
    </row>
    <row r="41" spans="3:9" ht="15.75" thickBot="1" x14ac:dyDescent="0.3">
      <c r="D41" s="1558" t="s">
        <v>998</v>
      </c>
      <c r="E41" s="472"/>
      <c r="F41" s="146"/>
      <c r="G41" s="1559">
        <v>1</v>
      </c>
      <c r="H41" s="146">
        <v>120</v>
      </c>
      <c r="I41" s="472">
        <f>G41*H41</f>
        <v>120</v>
      </c>
    </row>
    <row r="42" spans="3:9" x14ac:dyDescent="0.25">
      <c r="D42" s="1247" t="s">
        <v>1002</v>
      </c>
      <c r="I42" s="76">
        <f>SUM(I39:I41)</f>
        <v>238980</v>
      </c>
    </row>
  </sheetData>
  <pageMargins left="0.7" right="0.7" top="0.75" bottom="0.75" header="0.3" footer="0.3"/>
  <pageSetup paperSize="5" scale="75" fitToHeight="0" orientation="portrait" r:id="rId1"/>
  <headerFooter>
    <oddHeader xml:space="preserve">&amp;RPAGE 40
</oddHeader>
    <oddFooter>&amp;F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J15"/>
  <sheetViews>
    <sheetView workbookViewId="0">
      <selection sqref="A1:J15"/>
    </sheetView>
  </sheetViews>
  <sheetFormatPr defaultRowHeight="15" x14ac:dyDescent="0.25"/>
  <cols>
    <col min="2" max="2" width="33.7109375" customWidth="1"/>
    <col min="3" max="4" width="16.5703125" style="85" hidden="1" customWidth="1"/>
    <col min="5" max="5" width="17.28515625" hidden="1" customWidth="1"/>
    <col min="6" max="6" width="24.7109375" style="85" hidden="1" customWidth="1"/>
    <col min="7" max="7" width="14.7109375" hidden="1" customWidth="1"/>
    <col min="8" max="8" width="15.7109375" customWidth="1"/>
    <col min="9" max="9" width="14.85546875" style="76" customWidth="1"/>
    <col min="10" max="10" width="14.5703125" style="76" customWidth="1"/>
  </cols>
  <sheetData>
    <row r="1" spans="1:10" ht="22.5" x14ac:dyDescent="0.4">
      <c r="A1" s="52"/>
      <c r="B1" s="52" t="s">
        <v>772</v>
      </c>
      <c r="C1" s="718"/>
      <c r="D1" s="718"/>
      <c r="E1" s="718"/>
      <c r="F1" s="718"/>
      <c r="G1" s="718"/>
      <c r="H1" s="720"/>
      <c r="I1" s="720"/>
      <c r="J1" s="720"/>
    </row>
    <row r="2" spans="1:10" ht="22.5" x14ac:dyDescent="0.4">
      <c r="A2" s="43"/>
      <c r="B2" s="1060" t="s">
        <v>1107</v>
      </c>
      <c r="C2" s="720"/>
      <c r="D2" s="720"/>
      <c r="E2" s="720"/>
      <c r="F2" s="720"/>
      <c r="G2" s="720"/>
      <c r="H2" s="720"/>
      <c r="I2" s="720"/>
      <c r="J2" s="720"/>
    </row>
    <row r="3" spans="1:10" ht="22.5" x14ac:dyDescent="0.4">
      <c r="A3" s="55" t="s">
        <v>1155</v>
      </c>
      <c r="B3" s="54"/>
      <c r="C3" s="747"/>
      <c r="D3" s="747"/>
      <c r="E3" s="747"/>
      <c r="F3" s="747"/>
      <c r="G3" s="747"/>
      <c r="H3" s="747"/>
      <c r="I3" s="720"/>
      <c r="J3" s="720"/>
    </row>
    <row r="5" spans="1:10" ht="18.75" thickBot="1" x14ac:dyDescent="0.4">
      <c r="A5" s="544"/>
      <c r="B5" s="544"/>
      <c r="C5" s="545"/>
      <c r="D5" s="545"/>
    </row>
    <row r="6" spans="1:10" ht="55.15" customHeight="1" thickBot="1" x14ac:dyDescent="0.4">
      <c r="A6" s="154" t="s">
        <v>567</v>
      </c>
      <c r="B6" s="544"/>
      <c r="C6" s="220" t="s">
        <v>833</v>
      </c>
      <c r="D6" s="348" t="s">
        <v>834</v>
      </c>
      <c r="E6" s="502" t="s">
        <v>786</v>
      </c>
      <c r="F6" s="551" t="s">
        <v>944</v>
      </c>
      <c r="G6" s="1312" t="s">
        <v>943</v>
      </c>
      <c r="H6" s="1588" t="s">
        <v>1078</v>
      </c>
      <c r="I6" s="1791" t="s">
        <v>1134</v>
      </c>
      <c r="J6" s="1795" t="s">
        <v>1097</v>
      </c>
    </row>
    <row r="7" spans="1:10" ht="18" x14ac:dyDescent="0.35">
      <c r="A7" s="748">
        <v>35000</v>
      </c>
      <c r="B7" s="749" t="s">
        <v>775</v>
      </c>
      <c r="C7" s="750">
        <v>207</v>
      </c>
      <c r="D7" s="750">
        <v>252.46</v>
      </c>
      <c r="E7" s="85">
        <f>D7-C7</f>
        <v>45.460000000000008</v>
      </c>
      <c r="F7" s="85">
        <v>73</v>
      </c>
      <c r="G7" s="76">
        <v>36</v>
      </c>
      <c r="H7" s="76">
        <v>36</v>
      </c>
      <c r="I7" s="76">
        <v>1112</v>
      </c>
      <c r="J7" s="1555">
        <v>1852</v>
      </c>
    </row>
    <row r="8" spans="1:10" ht="18" x14ac:dyDescent="0.35">
      <c r="A8" s="748" t="s">
        <v>558</v>
      </c>
      <c r="B8" s="749" t="s">
        <v>776</v>
      </c>
      <c r="C8" s="751">
        <v>355</v>
      </c>
      <c r="D8" s="751">
        <f>[34]Sheet1!$V$64</f>
        <v>705</v>
      </c>
      <c r="E8" s="119">
        <f>D8-C8</f>
        <v>350</v>
      </c>
      <c r="F8" s="119">
        <v>330</v>
      </c>
      <c r="G8" s="118">
        <v>330</v>
      </c>
      <c r="H8" s="118">
        <v>330</v>
      </c>
      <c r="I8" s="118">
        <f>[29]Sheet1!$AC$65</f>
        <v>948.97000000000014</v>
      </c>
      <c r="J8" s="1796">
        <v>949</v>
      </c>
    </row>
    <row r="9" spans="1:10" ht="18" x14ac:dyDescent="0.35">
      <c r="A9" s="544" t="s">
        <v>766</v>
      </c>
      <c r="B9" s="134" t="s">
        <v>415</v>
      </c>
      <c r="C9" s="753">
        <f>SUM(C7:C8)</f>
        <v>562</v>
      </c>
      <c r="D9" s="753">
        <f>SUM(D7:D8)</f>
        <v>957.46</v>
      </c>
      <c r="E9" s="753">
        <f>SUM(E7:E8)</f>
        <v>395.46000000000004</v>
      </c>
      <c r="F9" s="753">
        <f>SUM(F7:F8)</f>
        <v>403</v>
      </c>
      <c r="G9" s="753">
        <f t="shared" ref="G9:J9" si="0">SUM(G7:G8)</f>
        <v>366</v>
      </c>
      <c r="H9" s="753">
        <f t="shared" si="0"/>
        <v>366</v>
      </c>
      <c r="I9" s="753">
        <f t="shared" si="0"/>
        <v>2060.9700000000003</v>
      </c>
      <c r="J9" s="1797">
        <f t="shared" si="0"/>
        <v>2801</v>
      </c>
    </row>
    <row r="10" spans="1:10" ht="18" x14ac:dyDescent="0.35">
      <c r="A10" s="544"/>
      <c r="B10" s="752"/>
      <c r="C10" s="750"/>
      <c r="D10" s="750"/>
      <c r="J10" s="1555"/>
    </row>
    <row r="11" spans="1:10" ht="18.75" thickBot="1" x14ac:dyDescent="0.4">
      <c r="A11" s="154" t="s">
        <v>571</v>
      </c>
      <c r="B11" s="752"/>
      <c r="C11" s="750"/>
      <c r="D11" s="750"/>
      <c r="J11" s="1555"/>
    </row>
    <row r="12" spans="1:10" ht="47.25" thickBot="1" x14ac:dyDescent="0.4">
      <c r="C12" s="751">
        <v>562</v>
      </c>
      <c r="D12" s="751">
        <v>423.9</v>
      </c>
      <c r="E12" s="119">
        <f>D12-C12</f>
        <v>-138.10000000000002</v>
      </c>
      <c r="F12" s="551" t="s">
        <v>944</v>
      </c>
      <c r="G12" s="1312" t="s">
        <v>943</v>
      </c>
      <c r="H12" s="1588" t="s">
        <v>1013</v>
      </c>
      <c r="I12" s="1792" t="s">
        <v>1135</v>
      </c>
      <c r="J12" s="1795" t="s">
        <v>1097</v>
      </c>
    </row>
    <row r="13" spans="1:10" ht="18" x14ac:dyDescent="0.35">
      <c r="A13" s="748" t="s">
        <v>773</v>
      </c>
      <c r="B13" s="749" t="s">
        <v>774</v>
      </c>
      <c r="G13" s="76">
        <v>366</v>
      </c>
      <c r="H13" s="76">
        <f>G13</f>
        <v>366</v>
      </c>
      <c r="I13" s="76">
        <v>0</v>
      </c>
      <c r="J13" s="1555">
        <v>2801</v>
      </c>
    </row>
    <row r="14" spans="1:10" ht="18" x14ac:dyDescent="0.35">
      <c r="A14" s="1793"/>
      <c r="B14" s="82"/>
      <c r="C14" s="1794">
        <f>SUM(C12)</f>
        <v>562</v>
      </c>
      <c r="D14" s="1794">
        <f>SUM(D12)</f>
        <v>423.9</v>
      </c>
      <c r="E14" s="1794">
        <f>SUM(E12)</f>
        <v>-138.10000000000002</v>
      </c>
      <c r="F14" s="119">
        <v>403</v>
      </c>
      <c r="G14" s="118"/>
      <c r="H14" s="82"/>
      <c r="I14" s="118"/>
      <c r="J14" s="1796"/>
    </row>
    <row r="15" spans="1:10" ht="18" x14ac:dyDescent="0.35">
      <c r="A15" s="544"/>
      <c r="B15" s="69" t="s">
        <v>415</v>
      </c>
      <c r="C15" s="545"/>
      <c r="D15" s="545"/>
      <c r="F15" s="754">
        <f>SUM(F14)</f>
        <v>403</v>
      </c>
      <c r="G15" s="754">
        <f>SUM(G13:G14)</f>
        <v>366</v>
      </c>
      <c r="H15" s="754">
        <f>SUM(H13:H14)</f>
        <v>366</v>
      </c>
      <c r="I15" s="754">
        <f>SUM(I13:I14)</f>
        <v>0</v>
      </c>
      <c r="J15" s="1798">
        <f>SUM(J13:J14)</f>
        <v>2801</v>
      </c>
    </row>
  </sheetData>
  <pageMargins left="0.7" right="0.7" top="0.75" bottom="0.75" header="0.3" footer="0.3"/>
  <pageSetup paperSize="5" orientation="portrait" r:id="rId1"/>
  <headerFooter>
    <oddHeader>&amp;RPAGE 41</oddHeader>
    <oddFooter>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J15"/>
  <sheetViews>
    <sheetView workbookViewId="0">
      <selection sqref="A1:J15"/>
    </sheetView>
  </sheetViews>
  <sheetFormatPr defaultRowHeight="15" x14ac:dyDescent="0.25"/>
  <cols>
    <col min="2" max="2" width="33.7109375" customWidth="1"/>
    <col min="3" max="4" width="16.5703125" style="85" hidden="1" customWidth="1"/>
    <col min="5" max="5" width="17.28515625" hidden="1" customWidth="1"/>
    <col min="6" max="6" width="23.5703125" style="85" hidden="1" customWidth="1"/>
    <col min="7" max="7" width="16.140625" hidden="1" customWidth="1"/>
    <col min="8" max="8" width="14.140625" customWidth="1"/>
    <col min="9" max="9" width="16.42578125" customWidth="1"/>
    <col min="10" max="10" width="17.42578125" customWidth="1"/>
  </cols>
  <sheetData>
    <row r="1" spans="1:10" ht="22.5" x14ac:dyDescent="0.4">
      <c r="A1" s="52"/>
      <c r="B1" s="52" t="s">
        <v>839</v>
      </c>
      <c r="C1" s="718"/>
      <c r="D1" s="718"/>
      <c r="E1" s="718"/>
      <c r="F1" s="718"/>
      <c r="G1" s="43"/>
      <c r="H1" s="43"/>
      <c r="I1" s="43"/>
      <c r="J1" s="43"/>
    </row>
    <row r="2" spans="1:10" ht="22.5" x14ac:dyDescent="0.4">
      <c r="A2" s="43"/>
      <c r="B2" s="1060" t="s">
        <v>1107</v>
      </c>
      <c r="C2" s="720"/>
      <c r="D2" s="720"/>
      <c r="E2" s="720"/>
      <c r="F2" s="720"/>
      <c r="G2" s="43"/>
      <c r="H2" s="43"/>
      <c r="I2" s="43"/>
      <c r="J2" s="43"/>
    </row>
    <row r="3" spans="1:10" ht="22.5" x14ac:dyDescent="0.4">
      <c r="A3" s="55" t="s">
        <v>1155</v>
      </c>
      <c r="B3" s="54"/>
      <c r="C3" s="747"/>
      <c r="D3" s="747"/>
      <c r="E3" s="747"/>
      <c r="F3" s="747"/>
      <c r="G3" s="43"/>
      <c r="H3" s="43"/>
      <c r="I3" s="43"/>
      <c r="J3" s="43"/>
    </row>
    <row r="5" spans="1:10" ht="18.75" thickBot="1" x14ac:dyDescent="0.4">
      <c r="A5" s="544"/>
      <c r="B5" s="544"/>
      <c r="C5" s="545"/>
      <c r="D5" s="545"/>
    </row>
    <row r="6" spans="1:10" ht="55.15" customHeight="1" thickBot="1" x14ac:dyDescent="0.4">
      <c r="A6" s="1425" t="s">
        <v>567</v>
      </c>
      <c r="B6" s="1426"/>
      <c r="C6" s="220" t="s">
        <v>840</v>
      </c>
      <c r="D6" s="348" t="s">
        <v>841</v>
      </c>
      <c r="E6" s="502" t="s">
        <v>786</v>
      </c>
      <c r="F6" s="551" t="s">
        <v>944</v>
      </c>
      <c r="G6" s="1312" t="s">
        <v>943</v>
      </c>
      <c r="H6" s="1588" t="s">
        <v>1079</v>
      </c>
      <c r="I6" s="1752" t="s">
        <v>1136</v>
      </c>
      <c r="J6" s="1778" t="s">
        <v>1097</v>
      </c>
    </row>
    <row r="7" spans="1:10" ht="18" x14ac:dyDescent="0.35">
      <c r="A7" s="748">
        <v>35000</v>
      </c>
      <c r="B7" s="749" t="s">
        <v>775</v>
      </c>
      <c r="C7" s="750"/>
      <c r="D7" s="750">
        <v>10048.379999999999</v>
      </c>
      <c r="E7" s="85">
        <f>D7-C7</f>
        <v>10048.379999999999</v>
      </c>
      <c r="F7" s="85">
        <v>124</v>
      </c>
      <c r="G7" s="85">
        <v>124</v>
      </c>
      <c r="H7" s="85">
        <v>300</v>
      </c>
      <c r="I7" s="85">
        <v>622</v>
      </c>
      <c r="J7" s="1799">
        <v>743</v>
      </c>
    </row>
    <row r="8" spans="1:10" ht="18" x14ac:dyDescent="0.35">
      <c r="A8" s="748" t="s">
        <v>558</v>
      </c>
      <c r="B8" s="749" t="s">
        <v>776</v>
      </c>
      <c r="C8" s="751"/>
      <c r="D8" s="751">
        <v>320.79000000000002</v>
      </c>
      <c r="E8" s="119">
        <f>D8-C8</f>
        <v>320.79000000000002</v>
      </c>
      <c r="F8" s="119">
        <v>350</v>
      </c>
      <c r="G8" s="119">
        <v>350</v>
      </c>
      <c r="H8" s="1618">
        <v>350</v>
      </c>
      <c r="I8" s="118">
        <f>[29]Sheet1!$AC$49</f>
        <v>200.35000000000002</v>
      </c>
      <c r="J8" s="1800">
        <v>200</v>
      </c>
    </row>
    <row r="9" spans="1:10" ht="18" x14ac:dyDescent="0.35">
      <c r="A9" s="544" t="s">
        <v>766</v>
      </c>
      <c r="B9" s="134" t="s">
        <v>415</v>
      </c>
      <c r="C9" s="753"/>
      <c r="D9" s="753">
        <f>SUM(D7:D8)</f>
        <v>10369.17</v>
      </c>
      <c r="E9" s="753">
        <f>SUM(E7:E8)</f>
        <v>10369.17</v>
      </c>
      <c r="F9" s="753">
        <f>SUM(F7:F8)</f>
        <v>474</v>
      </c>
      <c r="G9" s="753">
        <f>SUM(G7:G8)</f>
        <v>474</v>
      </c>
      <c r="H9" s="753">
        <f>SUM(H7:H8)</f>
        <v>650</v>
      </c>
      <c r="I9" s="753">
        <f t="shared" ref="I9:J9" si="0">SUM(I7:I8)</f>
        <v>822.35</v>
      </c>
      <c r="J9" s="1797">
        <f t="shared" si="0"/>
        <v>943</v>
      </c>
    </row>
    <row r="10" spans="1:10" ht="18" x14ac:dyDescent="0.35">
      <c r="A10" s="544"/>
      <c r="B10" s="752"/>
      <c r="C10" s="750"/>
      <c r="D10" s="750"/>
      <c r="J10" s="1504"/>
    </row>
    <row r="11" spans="1:10" ht="18.75" thickBot="1" x14ac:dyDescent="0.4">
      <c r="B11" s="752"/>
      <c r="C11" s="750"/>
      <c r="D11" s="750"/>
      <c r="J11" s="1504"/>
    </row>
    <row r="12" spans="1:10" ht="60" customHeight="1" thickBot="1" x14ac:dyDescent="0.4">
      <c r="A12" s="1425" t="s">
        <v>571</v>
      </c>
      <c r="B12" s="1344"/>
      <c r="C12" s="751"/>
      <c r="D12" s="751">
        <v>7625.49</v>
      </c>
      <c r="E12" s="119">
        <f>D12-C12</f>
        <v>7625.49</v>
      </c>
      <c r="F12" s="551" t="s">
        <v>944</v>
      </c>
      <c r="G12" s="1312" t="s">
        <v>943</v>
      </c>
      <c r="H12" s="1588" t="s">
        <v>1079</v>
      </c>
      <c r="I12" s="1752" t="s">
        <v>1135</v>
      </c>
      <c r="J12" s="1778" t="s">
        <v>1097</v>
      </c>
    </row>
    <row r="13" spans="1:10" ht="18" x14ac:dyDescent="0.35">
      <c r="A13" s="544"/>
      <c r="C13" s="754"/>
      <c r="D13" s="754">
        <f>SUM(D12)</f>
        <v>7625.49</v>
      </c>
      <c r="E13" s="754">
        <f>SUM(E12)</f>
        <v>7625.49</v>
      </c>
      <c r="J13" s="1504"/>
    </row>
    <row r="14" spans="1:10" ht="18" x14ac:dyDescent="0.35">
      <c r="A14" s="748" t="s">
        <v>773</v>
      </c>
      <c r="B14" s="749" t="s">
        <v>774</v>
      </c>
      <c r="C14" s="545"/>
      <c r="D14" s="545"/>
      <c r="F14" s="119">
        <v>474</v>
      </c>
      <c r="G14" s="119">
        <v>474</v>
      </c>
      <c r="H14" s="118">
        <v>650</v>
      </c>
      <c r="I14" s="119">
        <v>0</v>
      </c>
      <c r="J14" s="1800">
        <v>943</v>
      </c>
    </row>
    <row r="15" spans="1:10" ht="18" x14ac:dyDescent="0.35">
      <c r="A15" s="544"/>
      <c r="B15" s="69" t="s">
        <v>415</v>
      </c>
      <c r="C15" s="545"/>
      <c r="D15" s="545"/>
      <c r="F15" s="754">
        <f>SUM(F14)</f>
        <v>474</v>
      </c>
      <c r="G15" s="754">
        <f>SUM(G14)</f>
        <v>474</v>
      </c>
      <c r="H15" s="754">
        <f>SUM(H14)</f>
        <v>650</v>
      </c>
      <c r="I15" s="754">
        <f t="shared" ref="I15:J15" si="1">SUM(I14)</f>
        <v>0</v>
      </c>
      <c r="J15" s="1798">
        <f t="shared" si="1"/>
        <v>943</v>
      </c>
    </row>
  </sheetData>
  <pageMargins left="0.7" right="0.7" top="0.75" bottom="0.75" header="0.3" footer="0.3"/>
  <pageSetup paperSize="5" scale="99" orientation="portrait" r:id="rId1"/>
  <headerFooter>
    <oddHeader>&amp;RPAGE 42</oddHeader>
    <oddFooter>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6944-B5E3-49B1-83A9-EBF19895FC74}">
  <sheetPr>
    <pageSetUpPr fitToPage="1"/>
  </sheetPr>
  <dimension ref="A1:G21"/>
  <sheetViews>
    <sheetView workbookViewId="0">
      <selection sqref="A1:G14"/>
    </sheetView>
  </sheetViews>
  <sheetFormatPr defaultRowHeight="15" x14ac:dyDescent="0.25"/>
  <cols>
    <col min="1" max="2" width="23.7109375" customWidth="1"/>
    <col min="3" max="3" width="24.28515625" hidden="1" customWidth="1"/>
    <col min="4" max="4" width="16.5703125" hidden="1" customWidth="1"/>
    <col min="5" max="5" width="18.42578125" style="76" customWidth="1"/>
    <col min="6" max="6" width="18.5703125" style="1801" customWidth="1"/>
    <col min="7" max="7" width="23.85546875" style="1801" customWidth="1"/>
  </cols>
  <sheetData>
    <row r="1" spans="1:7" ht="22.5" x14ac:dyDescent="0.4">
      <c r="A1" s="1298"/>
      <c r="B1" s="52" t="s">
        <v>937</v>
      </c>
      <c r="C1" s="718"/>
      <c r="D1" s="43"/>
      <c r="E1" s="1563"/>
      <c r="F1" s="1563"/>
      <c r="G1" s="1563"/>
    </row>
    <row r="2" spans="1:7" ht="22.5" x14ac:dyDescent="0.4">
      <c r="A2" s="43"/>
      <c r="B2" s="1060" t="s">
        <v>1107</v>
      </c>
      <c r="C2" s="720"/>
      <c r="D2" s="43"/>
      <c r="E2" s="1563"/>
      <c r="F2" s="1563"/>
      <c r="G2" s="1563"/>
    </row>
    <row r="3" spans="1:7" ht="22.5" x14ac:dyDescent="0.4">
      <c r="A3" s="55"/>
      <c r="B3" s="55" t="s">
        <v>1155</v>
      </c>
      <c r="C3" s="747"/>
      <c r="D3" s="43"/>
      <c r="E3" s="1563"/>
      <c r="F3" s="1563"/>
      <c r="G3" s="1563"/>
    </row>
    <row r="5" spans="1:7" ht="15.75" thickBot="1" x14ac:dyDescent="0.3"/>
    <row r="6" spans="1:7" ht="60" customHeight="1" thickBot="1" x14ac:dyDescent="0.4">
      <c r="A6" s="1425" t="s">
        <v>567</v>
      </c>
      <c r="B6" s="1426"/>
      <c r="C6" s="551" t="s">
        <v>944</v>
      </c>
      <c r="D6" s="1312" t="s">
        <v>943</v>
      </c>
      <c r="E6" s="1588" t="s">
        <v>1079</v>
      </c>
      <c r="F6" s="1752" t="s">
        <v>1136</v>
      </c>
      <c r="G6" s="1778" t="s">
        <v>1097</v>
      </c>
    </row>
    <row r="7" spans="1:7" ht="18" x14ac:dyDescent="0.35">
      <c r="A7" s="748">
        <v>35000</v>
      </c>
      <c r="B7" s="749" t="s">
        <v>775</v>
      </c>
      <c r="C7" s="76">
        <v>8500</v>
      </c>
      <c r="D7" s="76">
        <v>8500</v>
      </c>
      <c r="E7" s="76">
        <v>3000</v>
      </c>
      <c r="F7" s="1580">
        <v>3453</v>
      </c>
      <c r="G7" s="1701">
        <v>2996</v>
      </c>
    </row>
    <row r="8" spans="1:7" ht="18.75" thickBot="1" x14ac:dyDescent="0.4">
      <c r="A8" s="1299" t="s">
        <v>558</v>
      </c>
      <c r="B8" s="833" t="s">
        <v>776</v>
      </c>
      <c r="C8" s="146">
        <v>966</v>
      </c>
      <c r="D8" s="146">
        <v>966</v>
      </c>
      <c r="E8" s="146">
        <v>966</v>
      </c>
      <c r="F8" s="1583">
        <f>[29]Sheet1!$AC$265</f>
        <v>884.21999999999991</v>
      </c>
      <c r="G8" s="1802">
        <v>884</v>
      </c>
    </row>
    <row r="9" spans="1:7" ht="18" x14ac:dyDescent="0.35">
      <c r="A9" s="544" t="s">
        <v>766</v>
      </c>
      <c r="B9" s="134" t="s">
        <v>415</v>
      </c>
      <c r="C9" s="1300">
        <f>SUM(C7:C8)</f>
        <v>9466</v>
      </c>
      <c r="D9" s="1300">
        <f>SUM(D7:D8)</f>
        <v>9466</v>
      </c>
      <c r="E9" s="1300">
        <f>SUM(E7:E8)</f>
        <v>3966</v>
      </c>
      <c r="F9" s="1300">
        <f t="shared" ref="F9:G9" si="0">SUM(F7:F8)</f>
        <v>4337.22</v>
      </c>
      <c r="G9" s="1803">
        <f t="shared" si="0"/>
        <v>3880</v>
      </c>
    </row>
    <row r="10" spans="1:7" ht="18.75" thickBot="1" x14ac:dyDescent="0.4">
      <c r="A10" s="544"/>
      <c r="B10" s="752"/>
      <c r="C10" s="76"/>
      <c r="G10" s="1804"/>
    </row>
    <row r="11" spans="1:7" ht="45.75" thickBot="1" x14ac:dyDescent="0.4">
      <c r="A11" s="219"/>
      <c r="B11" s="1426"/>
      <c r="C11" s="551" t="s">
        <v>944</v>
      </c>
      <c r="D11" s="1312" t="s">
        <v>943</v>
      </c>
      <c r="E11" s="1588" t="s">
        <v>1079</v>
      </c>
      <c r="F11" s="1752" t="s">
        <v>1135</v>
      </c>
      <c r="G11" s="1778" t="s">
        <v>1097</v>
      </c>
    </row>
    <row r="12" spans="1:7" ht="18" x14ac:dyDescent="0.35">
      <c r="A12" s="154" t="s">
        <v>938</v>
      </c>
      <c r="G12" s="1804"/>
    </row>
    <row r="13" spans="1:7" ht="18.75" thickBot="1" x14ac:dyDescent="0.4">
      <c r="A13" s="1299" t="s">
        <v>773</v>
      </c>
      <c r="B13" s="833" t="s">
        <v>774</v>
      </c>
      <c r="C13" s="146">
        <v>9466</v>
      </c>
      <c r="D13" s="146">
        <v>9466</v>
      </c>
      <c r="E13" s="146">
        <v>3966</v>
      </c>
      <c r="F13" s="1583">
        <f>[36]Sheet1!$AJ$178</f>
        <v>1271.08</v>
      </c>
      <c r="G13" s="1805">
        <v>3880</v>
      </c>
    </row>
    <row r="14" spans="1:7" ht="18" x14ac:dyDescent="0.35">
      <c r="B14" s="69" t="s">
        <v>415</v>
      </c>
      <c r="C14" s="1300">
        <f>SUM(C13)</f>
        <v>9466</v>
      </c>
      <c r="D14" s="1300">
        <f>SUM(D13)</f>
        <v>9466</v>
      </c>
      <c r="E14" s="1300">
        <f>SUM(E13)</f>
        <v>3966</v>
      </c>
      <c r="F14" s="1300">
        <f t="shared" ref="F14:G14" si="1">SUM(F13)</f>
        <v>1271.08</v>
      </c>
      <c r="G14" s="1803">
        <f t="shared" si="1"/>
        <v>3880</v>
      </c>
    </row>
    <row r="15" spans="1:7" x14ac:dyDescent="0.25">
      <c r="C15" s="76"/>
    </row>
    <row r="16" spans="1:7" x14ac:dyDescent="0.25">
      <c r="C16" s="76"/>
    </row>
    <row r="17" spans="3:3" x14ac:dyDescent="0.25">
      <c r="C17" s="76"/>
    </row>
    <row r="18" spans="3:3" x14ac:dyDescent="0.25">
      <c r="C18" s="76"/>
    </row>
    <row r="19" spans="3:3" x14ac:dyDescent="0.25">
      <c r="C19" s="76"/>
    </row>
    <row r="20" spans="3:3" x14ac:dyDescent="0.25">
      <c r="C20" s="76"/>
    </row>
    <row r="21" spans="3:3" x14ac:dyDescent="0.25">
      <c r="C21" s="76"/>
    </row>
  </sheetData>
  <pageMargins left="0.7" right="0.7" top="0.75" bottom="0.75" header="0.3" footer="0.3"/>
  <pageSetup paperSize="5" scale="83" orientation="portrait" r:id="rId1"/>
  <headerFooter>
    <oddHeader xml:space="preserve">&amp;RPAGE 43
</oddHeader>
    <oddFooter>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B1BCA-75DC-4A06-8F97-11CFB31C1837}">
  <sheetPr>
    <pageSetUpPr fitToPage="1"/>
  </sheetPr>
  <dimension ref="A1:G14"/>
  <sheetViews>
    <sheetView workbookViewId="0">
      <selection sqref="A1:G14"/>
    </sheetView>
  </sheetViews>
  <sheetFormatPr defaultRowHeight="15" x14ac:dyDescent="0.25"/>
  <cols>
    <col min="1" max="1" width="28.140625" bestFit="1" customWidth="1"/>
    <col min="2" max="2" width="35.140625" customWidth="1"/>
    <col min="3" max="3" width="20.42578125" hidden="1" customWidth="1"/>
    <col min="4" max="4" width="17.85546875" style="76" hidden="1" customWidth="1"/>
    <col min="5" max="5" width="24.140625" style="76" customWidth="1"/>
    <col min="6" max="6" width="25.42578125" style="76" customWidth="1"/>
    <col min="7" max="7" width="20.85546875" style="76" customWidth="1"/>
  </cols>
  <sheetData>
    <row r="1" spans="1:7" ht="22.5" x14ac:dyDescent="0.4">
      <c r="A1" s="1298"/>
      <c r="B1" s="52" t="s">
        <v>939</v>
      </c>
      <c r="C1" s="718"/>
      <c r="D1" s="43"/>
      <c r="E1" s="43"/>
      <c r="F1" s="43"/>
      <c r="G1" s="43"/>
    </row>
    <row r="2" spans="1:7" ht="22.5" x14ac:dyDescent="0.4">
      <c r="A2" s="43"/>
      <c r="B2" s="1060" t="s">
        <v>1107</v>
      </c>
      <c r="C2" s="720"/>
      <c r="D2" s="43"/>
      <c r="E2" s="43"/>
      <c r="F2" s="43"/>
      <c r="G2" s="43"/>
    </row>
    <row r="3" spans="1:7" ht="22.5" x14ac:dyDescent="0.4">
      <c r="A3" s="55"/>
      <c r="B3" s="55" t="s">
        <v>1155</v>
      </c>
      <c r="C3" s="747"/>
      <c r="D3" s="43"/>
      <c r="E3" s="43"/>
      <c r="F3" s="43"/>
      <c r="G3" s="43"/>
    </row>
    <row r="5" spans="1:7" ht="15.75" thickBot="1" x14ac:dyDescent="0.3"/>
    <row r="6" spans="1:7" ht="54.95" customHeight="1" thickBot="1" x14ac:dyDescent="0.4">
      <c r="A6" s="1425" t="s">
        <v>567</v>
      </c>
      <c r="B6" s="1426"/>
      <c r="C6" s="551" t="s">
        <v>944</v>
      </c>
      <c r="D6" s="1428" t="s">
        <v>943</v>
      </c>
      <c r="E6" s="1588" t="s">
        <v>1079</v>
      </c>
      <c r="F6" s="473" t="s">
        <v>1136</v>
      </c>
      <c r="G6" s="1703" t="s">
        <v>1097</v>
      </c>
    </row>
    <row r="7" spans="1:7" ht="18" x14ac:dyDescent="0.35">
      <c r="A7" s="748">
        <v>35000</v>
      </c>
      <c r="B7" s="749" t="s">
        <v>775</v>
      </c>
      <c r="C7" s="76">
        <v>2720</v>
      </c>
      <c r="D7" s="76">
        <v>4000</v>
      </c>
      <c r="E7" s="76">
        <v>2000</v>
      </c>
      <c r="F7" s="76">
        <v>9461</v>
      </c>
      <c r="G7" s="1555">
        <v>21191</v>
      </c>
    </row>
    <row r="8" spans="1:7" ht="18" x14ac:dyDescent="0.35">
      <c r="A8" s="1806" t="s">
        <v>558</v>
      </c>
      <c r="B8" s="1807" t="s">
        <v>776</v>
      </c>
      <c r="C8" s="118">
        <v>24000</v>
      </c>
      <c r="D8" s="118">
        <v>24000</v>
      </c>
      <c r="E8" s="118">
        <v>24000</v>
      </c>
      <c r="F8" s="118">
        <f>[29]Sheet1!$AC$147</f>
        <v>128900</v>
      </c>
      <c r="G8" s="1796">
        <v>127200</v>
      </c>
    </row>
    <row r="9" spans="1:7" ht="18" x14ac:dyDescent="0.35">
      <c r="A9" s="544" t="s">
        <v>766</v>
      </c>
      <c r="B9" s="134" t="s">
        <v>415</v>
      </c>
      <c r="C9" s="1300">
        <f>SUM(C7:C8)</f>
        <v>26720</v>
      </c>
      <c r="D9" s="76">
        <f>SUM(D7:D8)</f>
        <v>28000</v>
      </c>
      <c r="E9" s="76">
        <f>SUM(E7:E8)</f>
        <v>26000</v>
      </c>
      <c r="F9" s="76">
        <f t="shared" ref="F9:G9" si="0">SUM(F7:F8)</f>
        <v>138361</v>
      </c>
      <c r="G9" s="1555">
        <f t="shared" si="0"/>
        <v>148391</v>
      </c>
    </row>
    <row r="10" spans="1:7" ht="18.75" thickBot="1" x14ac:dyDescent="0.4">
      <c r="A10" s="544"/>
      <c r="B10" s="752"/>
      <c r="C10" s="76"/>
      <c r="G10" s="1555"/>
    </row>
    <row r="11" spans="1:7" ht="49.5" thickBot="1" x14ac:dyDescent="0.4">
      <c r="A11" s="1425"/>
      <c r="B11" s="1344"/>
      <c r="C11" s="551" t="s">
        <v>944</v>
      </c>
      <c r="D11" s="1428" t="s">
        <v>943</v>
      </c>
      <c r="E11" s="1588" t="s">
        <v>1079</v>
      </c>
      <c r="F11" s="473" t="s">
        <v>1139</v>
      </c>
      <c r="G11" s="1703" t="s">
        <v>1097</v>
      </c>
    </row>
    <row r="12" spans="1:7" ht="18" x14ac:dyDescent="0.35">
      <c r="B12" s="752" t="s">
        <v>1137</v>
      </c>
      <c r="C12" s="76"/>
      <c r="G12" s="1555">
        <v>103200</v>
      </c>
    </row>
    <row r="13" spans="1:7" ht="18.75" thickBot="1" x14ac:dyDescent="0.4">
      <c r="A13" s="1299"/>
      <c r="B13" s="833" t="s">
        <v>955</v>
      </c>
      <c r="C13" s="146">
        <v>26720</v>
      </c>
      <c r="D13" s="146">
        <v>28000</v>
      </c>
      <c r="E13" s="146">
        <v>26000</v>
      </c>
      <c r="F13" s="146">
        <v>23000</v>
      </c>
      <c r="G13" s="1808">
        <v>45191</v>
      </c>
    </row>
    <row r="14" spans="1:7" ht="18" x14ac:dyDescent="0.35">
      <c r="A14" s="544"/>
      <c r="B14" s="69" t="s">
        <v>415</v>
      </c>
      <c r="C14" s="1300">
        <f>SUM(C13)</f>
        <v>26720</v>
      </c>
      <c r="D14" s="76">
        <f>SUM(D13)</f>
        <v>28000</v>
      </c>
      <c r="E14" s="76">
        <f>SUM(E12:E13)</f>
        <v>26000</v>
      </c>
      <c r="F14" s="76">
        <f t="shared" ref="F14:G14" si="1">SUM(F12:F13)</f>
        <v>23000</v>
      </c>
      <c r="G14" s="1555">
        <f t="shared" si="1"/>
        <v>148391</v>
      </c>
    </row>
  </sheetData>
  <pageMargins left="0.7" right="0.7" top="0.75" bottom="0.75" header="0.3" footer="0.3"/>
  <pageSetup paperSize="5" scale="67" fitToHeight="0" orientation="portrait" r:id="rId1"/>
  <headerFooter>
    <oddHeader>&amp;RPAGE 44</oddHeader>
    <oddFooter>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5046-74D3-4303-BCD9-FB4E4C0B8B66}">
  <sheetPr>
    <pageSetUpPr fitToPage="1"/>
  </sheetPr>
  <dimension ref="A1:F16"/>
  <sheetViews>
    <sheetView workbookViewId="0">
      <selection sqref="A1:F16"/>
    </sheetView>
  </sheetViews>
  <sheetFormatPr defaultRowHeight="18.75" x14ac:dyDescent="0.3"/>
  <cols>
    <col min="1" max="1" width="28.140625" bestFit="1" customWidth="1"/>
    <col min="2" max="2" width="29" bestFit="1" customWidth="1"/>
    <col min="3" max="3" width="22.140625" hidden="1" customWidth="1"/>
    <col min="4" max="4" width="22.85546875" style="1545" hidden="1" customWidth="1"/>
    <col min="5" max="5" width="20.42578125" style="76" customWidth="1"/>
    <col min="6" max="6" width="23.140625" style="76" customWidth="1"/>
  </cols>
  <sheetData>
    <row r="1" spans="1:6" ht="22.5" x14ac:dyDescent="0.4">
      <c r="A1" s="52"/>
      <c r="B1" s="52" t="s">
        <v>844</v>
      </c>
      <c r="C1" s="718"/>
      <c r="D1" s="43"/>
      <c r="E1" s="43"/>
      <c r="F1" s="43"/>
    </row>
    <row r="2" spans="1:6" ht="22.5" x14ac:dyDescent="0.4">
      <c r="A2" s="43"/>
      <c r="B2" s="1060" t="s">
        <v>1107</v>
      </c>
      <c r="C2" s="720"/>
      <c r="D2" s="43"/>
      <c r="E2" s="43"/>
      <c r="F2" s="43"/>
    </row>
    <row r="3" spans="1:6" ht="22.5" x14ac:dyDescent="0.4">
      <c r="A3" s="43"/>
      <c r="B3" s="55" t="s">
        <v>1155</v>
      </c>
      <c r="C3" s="747"/>
      <c r="D3" s="43"/>
      <c r="E3" s="43"/>
      <c r="F3" s="43"/>
    </row>
    <row r="4" spans="1:6" x14ac:dyDescent="0.3">
      <c r="C4" s="85"/>
    </row>
    <row r="5" spans="1:6" ht="20.25" thickBot="1" x14ac:dyDescent="0.4">
      <c r="A5" s="544"/>
      <c r="B5" s="544"/>
      <c r="C5" s="85"/>
    </row>
    <row r="6" spans="1:6" ht="60" customHeight="1" thickBot="1" x14ac:dyDescent="0.4">
      <c r="A6" s="1425" t="s">
        <v>567</v>
      </c>
      <c r="B6" s="1426"/>
      <c r="C6" s="551" t="s">
        <v>944</v>
      </c>
      <c r="D6" s="1565" t="s">
        <v>943</v>
      </c>
      <c r="E6" s="1588" t="s">
        <v>1078</v>
      </c>
      <c r="F6" s="969" t="s">
        <v>1097</v>
      </c>
    </row>
    <row r="7" spans="1:6" ht="19.5" x14ac:dyDescent="0.35">
      <c r="A7" s="748"/>
      <c r="B7" s="749"/>
      <c r="C7" s="85"/>
      <c r="F7" s="1555"/>
    </row>
    <row r="8" spans="1:6" ht="19.5" x14ac:dyDescent="0.35">
      <c r="A8" s="748" t="s">
        <v>558</v>
      </c>
      <c r="B8" s="749" t="s">
        <v>842</v>
      </c>
      <c r="C8" s="1258">
        <v>297257.46000000002</v>
      </c>
      <c r="D8" s="1545">
        <f>153411+40415.37+56288.36+0.96</f>
        <v>250115.68999999997</v>
      </c>
      <c r="E8" s="1545">
        <v>276361</v>
      </c>
      <c r="F8" s="1809">
        <f>294786-F9</f>
        <v>252719</v>
      </c>
    </row>
    <row r="9" spans="1:6" ht="20.25" thickBot="1" x14ac:dyDescent="0.4">
      <c r="A9" s="748"/>
      <c r="B9" s="833" t="s">
        <v>916</v>
      </c>
      <c r="C9" s="483"/>
      <c r="D9" s="1566">
        <f>102908.63-'[9]PAYABLE SCHEDULE DUE IN 1 YEAR'!$K$12</f>
        <v>46620.270000000004</v>
      </c>
      <c r="E9" s="1566">
        <v>19584</v>
      </c>
      <c r="F9" s="1810">
        <v>42067</v>
      </c>
    </row>
    <row r="10" spans="1:6" ht="19.5" x14ac:dyDescent="0.35">
      <c r="A10" s="544" t="s">
        <v>766</v>
      </c>
      <c r="B10" s="134" t="s">
        <v>415</v>
      </c>
      <c r="C10" s="1259">
        <f>SUM(C8:C9)</f>
        <v>297257.46000000002</v>
      </c>
      <c r="D10" s="1059">
        <f>SUM(D8:D9)</f>
        <v>296735.95999999996</v>
      </c>
      <c r="E10" s="1059">
        <f>SUM(E8:E9)</f>
        <v>295945</v>
      </c>
      <c r="F10" s="1811">
        <f>SUM(F8:F9)</f>
        <v>294786</v>
      </c>
    </row>
    <row r="11" spans="1:6" ht="20.25" thickBot="1" x14ac:dyDescent="0.4">
      <c r="A11" s="544"/>
      <c r="B11" s="752"/>
      <c r="C11" s="85"/>
      <c r="F11" s="1555"/>
    </row>
    <row r="12" spans="1:6" ht="57.75" thickBot="1" x14ac:dyDescent="0.4">
      <c r="A12" s="1425" t="s">
        <v>923</v>
      </c>
      <c r="B12" s="1344"/>
      <c r="C12" s="551" t="s">
        <v>944</v>
      </c>
      <c r="D12" s="1565" t="s">
        <v>943</v>
      </c>
      <c r="E12" s="1588" t="s">
        <v>1079</v>
      </c>
      <c r="F12" s="969" t="s">
        <v>1097</v>
      </c>
    </row>
    <row r="13" spans="1:6" x14ac:dyDescent="0.3">
      <c r="C13" s="1427"/>
      <c r="D13" s="1567"/>
      <c r="F13" s="1555"/>
    </row>
    <row r="14" spans="1:6" ht="19.5" x14ac:dyDescent="0.35">
      <c r="B14" s="752" t="s">
        <v>954</v>
      </c>
      <c r="C14" s="119">
        <v>297257.46000000002</v>
      </c>
      <c r="D14" s="1545">
        <v>296735.96000000002</v>
      </c>
      <c r="E14" s="76">
        <v>295945</v>
      </c>
      <c r="F14" s="1555">
        <v>294786</v>
      </c>
    </row>
    <row r="15" spans="1:6" ht="19.5" thickBot="1" x14ac:dyDescent="0.35">
      <c r="B15" s="472"/>
      <c r="C15" s="472"/>
      <c r="D15" s="1566"/>
      <c r="E15" s="146"/>
      <c r="F15" s="1808"/>
    </row>
    <row r="16" spans="1:6" ht="19.5" x14ac:dyDescent="0.35">
      <c r="B16" s="134" t="s">
        <v>415</v>
      </c>
      <c r="C16" s="754">
        <f>SUM(C14:C15)</f>
        <v>297257.46000000002</v>
      </c>
      <c r="D16" s="1059">
        <f>SUM(D14:D15)</f>
        <v>296735.96000000002</v>
      </c>
      <c r="E16" s="1059">
        <f>SUM(E14:E15)</f>
        <v>295945</v>
      </c>
      <c r="F16" s="1811">
        <f>SUM(F14:F15)</f>
        <v>294786</v>
      </c>
    </row>
  </sheetData>
  <pageMargins left="0.7" right="0.7" top="0.75" bottom="0.75" header="0.3" footer="0.3"/>
  <pageSetup paperSize="5" scale="89" fitToHeight="0" orientation="portrait" r:id="rId1"/>
  <headerFooter>
    <oddHeader>&amp;RPAGE 45</oddHeader>
    <oddFooter>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FCEA2-EBE7-419A-BAE9-215458098C95}">
  <sheetPr>
    <pageSetUpPr fitToPage="1"/>
  </sheetPr>
  <dimension ref="A1:F15"/>
  <sheetViews>
    <sheetView workbookViewId="0">
      <selection sqref="A1:F14"/>
    </sheetView>
  </sheetViews>
  <sheetFormatPr defaultRowHeight="15.75" x14ac:dyDescent="0.25"/>
  <cols>
    <col min="1" max="1" width="28.140625" bestFit="1" customWidth="1"/>
    <col min="2" max="2" width="52.5703125" bestFit="1" customWidth="1"/>
    <col min="3" max="3" width="16.5703125" hidden="1" customWidth="1"/>
    <col min="4" max="4" width="15.5703125" style="1570" hidden="1" customWidth="1"/>
    <col min="5" max="5" width="16.5703125" style="76" customWidth="1"/>
    <col min="6" max="6" width="22.85546875" style="76" customWidth="1"/>
  </cols>
  <sheetData>
    <row r="1" spans="1:6" ht="22.5" x14ac:dyDescent="0.4">
      <c r="A1" s="52"/>
      <c r="B1" s="1568" t="s">
        <v>924</v>
      </c>
      <c r="C1" s="718"/>
      <c r="D1" s="1569"/>
      <c r="E1" s="43"/>
      <c r="F1" s="43"/>
    </row>
    <row r="2" spans="1:6" ht="22.5" x14ac:dyDescent="0.4">
      <c r="A2" s="43"/>
      <c r="B2" s="1060" t="s">
        <v>1107</v>
      </c>
      <c r="C2" s="720"/>
      <c r="D2" s="1569"/>
      <c r="E2" s="43"/>
      <c r="F2" s="43"/>
    </row>
    <row r="3" spans="1:6" ht="22.5" x14ac:dyDescent="0.4">
      <c r="A3" s="43"/>
      <c r="B3" s="55" t="s">
        <v>1155</v>
      </c>
      <c r="C3" s="747"/>
      <c r="D3" s="1569"/>
      <c r="E3" s="43"/>
      <c r="F3" s="43"/>
    </row>
    <row r="4" spans="1:6" x14ac:dyDescent="0.25">
      <c r="C4" s="85"/>
    </row>
    <row r="5" spans="1:6" ht="18.75" thickBot="1" x14ac:dyDescent="0.4">
      <c r="A5" s="544"/>
      <c r="B5" s="544"/>
      <c r="C5" s="85"/>
    </row>
    <row r="6" spans="1:6" ht="65.099999999999994" customHeight="1" thickBot="1" x14ac:dyDescent="0.4">
      <c r="A6" s="1425" t="s">
        <v>567</v>
      </c>
      <c r="B6" s="1426"/>
      <c r="C6" s="551" t="s">
        <v>944</v>
      </c>
      <c r="D6" s="1571" t="s">
        <v>943</v>
      </c>
      <c r="E6" s="1588" t="s">
        <v>1079</v>
      </c>
      <c r="F6" s="1703" t="s">
        <v>1097</v>
      </c>
    </row>
    <row r="7" spans="1:6" ht="18" x14ac:dyDescent="0.35">
      <c r="A7" s="748"/>
      <c r="B7" s="749"/>
      <c r="C7" s="85"/>
      <c r="F7" s="1812"/>
    </row>
    <row r="8" spans="1:6" ht="18.75" thickBot="1" x14ac:dyDescent="0.4">
      <c r="A8" s="1299" t="s">
        <v>558</v>
      </c>
      <c r="B8" s="833" t="s">
        <v>842</v>
      </c>
      <c r="C8" s="1068">
        <v>56756.25</v>
      </c>
      <c r="D8" s="1572">
        <v>55643.31</v>
      </c>
      <c r="E8" s="365">
        <v>54531</v>
      </c>
      <c r="F8" s="1813">
        <v>54531</v>
      </c>
    </row>
    <row r="9" spans="1:6" ht="19.5" x14ac:dyDescent="0.35">
      <c r="A9" s="544" t="s">
        <v>766</v>
      </c>
      <c r="B9" s="134" t="s">
        <v>415</v>
      </c>
      <c r="C9" s="1259">
        <f>SUM(C8:C8)</f>
        <v>56756.25</v>
      </c>
      <c r="D9" s="1570">
        <f>SUM(D8:D8)</f>
        <v>55643.31</v>
      </c>
      <c r="E9" s="1570">
        <f>SUM(E8:E8)</f>
        <v>54531</v>
      </c>
      <c r="F9" s="1814">
        <f>SUM(F8:F8)</f>
        <v>54531</v>
      </c>
    </row>
    <row r="10" spans="1:6" ht="18.75" thickBot="1" x14ac:dyDescent="0.4">
      <c r="A10" s="544"/>
      <c r="B10" s="752"/>
      <c r="C10" s="85"/>
      <c r="F10" s="1812"/>
    </row>
    <row r="11" spans="1:6" ht="49.5" thickBot="1" x14ac:dyDescent="0.4">
      <c r="A11" s="1425" t="s">
        <v>923</v>
      </c>
      <c r="B11" s="1426"/>
      <c r="C11" s="551" t="s">
        <v>944</v>
      </c>
      <c r="D11" s="1571" t="s">
        <v>943</v>
      </c>
      <c r="E11" s="1588" t="s">
        <v>1079</v>
      </c>
      <c r="F11" s="1703" t="s">
        <v>1097</v>
      </c>
    </row>
    <row r="12" spans="1:6" ht="18" x14ac:dyDescent="0.35">
      <c r="A12" s="154"/>
      <c r="B12" s="752"/>
      <c r="F12" s="1812"/>
    </row>
    <row r="13" spans="1:6" ht="16.5" thickBot="1" x14ac:dyDescent="0.3">
      <c r="A13" s="472"/>
      <c r="B13" s="472" t="s">
        <v>954</v>
      </c>
      <c r="C13" s="483">
        <v>56756.25</v>
      </c>
      <c r="D13" s="1572">
        <v>55643.31</v>
      </c>
      <c r="E13" s="365">
        <v>54531</v>
      </c>
      <c r="F13" s="1813">
        <v>54531</v>
      </c>
    </row>
    <row r="14" spans="1:6" ht="19.5" x14ac:dyDescent="0.35">
      <c r="B14" s="134" t="s">
        <v>415</v>
      </c>
      <c r="D14" s="1570">
        <f>SUM(D13)</f>
        <v>55643.31</v>
      </c>
      <c r="E14" s="1570">
        <f>SUM(E13)</f>
        <v>54531</v>
      </c>
      <c r="F14" s="1814">
        <f>SUM(F13)</f>
        <v>54531</v>
      </c>
    </row>
    <row r="15" spans="1:6" ht="18" x14ac:dyDescent="0.35">
      <c r="C15" s="754">
        <f>SUM(C13:C14)</f>
        <v>56756.25</v>
      </c>
      <c r="F15" s="1555"/>
    </row>
  </sheetData>
  <pageMargins left="0.7" right="0.7" top="0.75" bottom="0.75" header="0.3" footer="0.3"/>
  <pageSetup paperSize="5" scale="75" fitToHeight="0" orientation="portrait" r:id="rId1"/>
  <headerFooter>
    <oddHeader>&amp;RPAGE 46</oddHeader>
    <oddFooter>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6128-D708-4B7D-B6F2-7BFE61AD7AC0}">
  <sheetPr>
    <pageSetUpPr fitToPage="1"/>
  </sheetPr>
  <dimension ref="A1:F16"/>
  <sheetViews>
    <sheetView workbookViewId="0">
      <selection sqref="A1:F14"/>
    </sheetView>
  </sheetViews>
  <sheetFormatPr defaultRowHeight="15.75" x14ac:dyDescent="0.25"/>
  <cols>
    <col min="1" max="1" width="28.140625" bestFit="1" customWidth="1"/>
    <col min="2" max="2" width="50.7109375" customWidth="1"/>
    <col min="3" max="3" width="27.42578125" hidden="1" customWidth="1"/>
    <col min="4" max="4" width="16.5703125" style="357" hidden="1" customWidth="1"/>
    <col min="5" max="5" width="16.42578125" style="357" customWidth="1"/>
    <col min="6" max="6" width="18.5703125" style="76" customWidth="1"/>
  </cols>
  <sheetData>
    <row r="1" spans="1:6" ht="22.5" x14ac:dyDescent="0.4">
      <c r="A1" s="52"/>
      <c r="B1" s="1298" t="s">
        <v>925</v>
      </c>
      <c r="C1" s="718"/>
      <c r="D1" s="1574"/>
      <c r="E1" s="43"/>
      <c r="F1" s="43"/>
    </row>
    <row r="2" spans="1:6" ht="22.5" x14ac:dyDescent="0.4">
      <c r="A2" s="43"/>
      <c r="B2" s="1060" t="s">
        <v>1107</v>
      </c>
      <c r="C2" s="720"/>
      <c r="D2" s="1574"/>
      <c r="E2" s="43"/>
      <c r="F2" s="43"/>
    </row>
    <row r="3" spans="1:6" ht="22.5" x14ac:dyDescent="0.4">
      <c r="A3" s="43"/>
      <c r="B3" s="55" t="s">
        <v>1155</v>
      </c>
      <c r="C3" s="747"/>
      <c r="D3" s="1574"/>
      <c r="E3" s="43"/>
      <c r="F3" s="43"/>
    </row>
    <row r="4" spans="1:6" x14ac:dyDescent="0.25">
      <c r="C4" s="85"/>
    </row>
    <row r="5" spans="1:6" ht="18.75" thickBot="1" x14ac:dyDescent="0.4">
      <c r="A5" s="544"/>
      <c r="B5" s="544"/>
      <c r="C5" s="85"/>
    </row>
    <row r="6" spans="1:6" ht="60" customHeight="1" thickBot="1" x14ac:dyDescent="0.4">
      <c r="A6" s="1425" t="s">
        <v>567</v>
      </c>
      <c r="B6" s="1426"/>
      <c r="C6" s="551" t="s">
        <v>944</v>
      </c>
      <c r="D6" s="1575" t="s">
        <v>943</v>
      </c>
      <c r="E6" s="1619" t="s">
        <v>1078</v>
      </c>
      <c r="F6" s="1815" t="s">
        <v>1140</v>
      </c>
    </row>
    <row r="7" spans="1:6" ht="18" x14ac:dyDescent="0.35">
      <c r="A7" s="748"/>
      <c r="B7" s="749"/>
      <c r="C7" s="85"/>
      <c r="F7" s="1555"/>
    </row>
    <row r="8" spans="1:6" ht="18" x14ac:dyDescent="0.35">
      <c r="A8" s="748" t="s">
        <v>558</v>
      </c>
      <c r="B8" s="749" t="s">
        <v>842</v>
      </c>
      <c r="C8" s="1258">
        <v>198586</v>
      </c>
      <c r="D8" s="357">
        <v>206850</v>
      </c>
      <c r="E8" s="357">
        <v>206850</v>
      </c>
      <c r="F8" s="1555">
        <v>208346</v>
      </c>
    </row>
    <row r="9" spans="1:6" ht="18.75" thickBot="1" x14ac:dyDescent="0.4">
      <c r="A9" s="1299"/>
      <c r="B9" s="833"/>
      <c r="C9" s="483"/>
      <c r="D9" s="365"/>
      <c r="E9" s="365"/>
      <c r="F9" s="1808"/>
    </row>
    <row r="10" spans="1:6" ht="18" x14ac:dyDescent="0.35">
      <c r="A10" s="544" t="s">
        <v>766</v>
      </c>
      <c r="B10" s="134" t="s">
        <v>415</v>
      </c>
      <c r="C10" s="1259">
        <f>SUM(C8:C9)</f>
        <v>198586</v>
      </c>
      <c r="D10" s="357">
        <f>SUM(D8:D9)</f>
        <v>206850</v>
      </c>
      <c r="E10" s="357">
        <f>SUM(E8:E9)</f>
        <v>206850</v>
      </c>
      <c r="F10" s="1816">
        <f>SUM(F8:F9)</f>
        <v>208346</v>
      </c>
    </row>
    <row r="11" spans="1:6" ht="18.75" thickBot="1" x14ac:dyDescent="0.4">
      <c r="A11" s="544"/>
      <c r="B11" s="752"/>
      <c r="C11" s="85"/>
      <c r="F11" s="1555"/>
    </row>
    <row r="12" spans="1:6" ht="49.5" thickBot="1" x14ac:dyDescent="0.4">
      <c r="A12" s="1425" t="s">
        <v>923</v>
      </c>
      <c r="B12" s="1426"/>
      <c r="C12" s="551" t="s">
        <v>944</v>
      </c>
      <c r="D12" s="1575" t="s">
        <v>943</v>
      </c>
      <c r="E12" s="1619" t="s">
        <v>1078</v>
      </c>
      <c r="F12" s="1815" t="s">
        <v>1140</v>
      </c>
    </row>
    <row r="13" spans="1:6" ht="16.5" thickBot="1" x14ac:dyDescent="0.3">
      <c r="A13" s="1573"/>
      <c r="B13" s="1573" t="s">
        <v>954</v>
      </c>
      <c r="C13" s="1573"/>
      <c r="D13" s="1576">
        <v>206850</v>
      </c>
      <c r="E13" s="365">
        <v>206850</v>
      </c>
      <c r="F13" s="1817">
        <v>208346</v>
      </c>
    </row>
    <row r="14" spans="1:6" ht="18" x14ac:dyDescent="0.35">
      <c r="B14" s="134" t="s">
        <v>415</v>
      </c>
      <c r="C14" s="119">
        <v>198586</v>
      </c>
      <c r="D14" s="357">
        <f>SUM(D13)</f>
        <v>206850</v>
      </c>
      <c r="E14" s="357">
        <f>SUM(E13)</f>
        <v>206850</v>
      </c>
      <c r="F14" s="1816">
        <f>SUM(F13)</f>
        <v>208346</v>
      </c>
    </row>
    <row r="16" spans="1:6" ht="18" x14ac:dyDescent="0.35">
      <c r="C16" s="754">
        <f>SUM(C14:C15)</f>
        <v>198586</v>
      </c>
    </row>
  </sheetData>
  <pageMargins left="0.7" right="0.7" top="0.75" bottom="0.75" header="0.3" footer="0.3"/>
  <pageSetup paperSize="5" scale="79" fitToHeight="0" orientation="portrait" r:id="rId1"/>
  <headerFooter>
    <oddHeader>&amp;RPAGE 47</oddHeader>
    <oddFooter>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FFFF4-2E15-4C2F-8887-463E1CFF21E1}">
  <sheetPr>
    <pageSetUpPr fitToPage="1"/>
  </sheetPr>
  <dimension ref="A1:F107"/>
  <sheetViews>
    <sheetView workbookViewId="0">
      <selection sqref="A1:F15"/>
    </sheetView>
  </sheetViews>
  <sheetFormatPr defaultRowHeight="15.75" x14ac:dyDescent="0.25"/>
  <cols>
    <col min="1" max="1" width="28.140625" bestFit="1" customWidth="1"/>
    <col min="2" max="2" width="50.7109375" customWidth="1"/>
    <col min="3" max="3" width="27.42578125" hidden="1" customWidth="1"/>
    <col min="4" max="4" width="18.85546875" style="1580" hidden="1" customWidth="1"/>
    <col min="5" max="5" width="19.85546875" style="1570" customWidth="1"/>
    <col min="6" max="6" width="22" style="1555" customWidth="1"/>
  </cols>
  <sheetData>
    <row r="1" spans="1:6" ht="22.5" x14ac:dyDescent="0.4">
      <c r="A1" s="266"/>
      <c r="B1" s="268" t="s">
        <v>926</v>
      </c>
      <c r="C1" s="718"/>
      <c r="D1" s="1577"/>
      <c r="E1" s="43"/>
      <c r="F1" s="43"/>
    </row>
    <row r="2" spans="1:6" ht="22.5" x14ac:dyDescent="0.4">
      <c r="A2" s="43"/>
      <c r="B2" s="1060" t="s">
        <v>1107</v>
      </c>
      <c r="C2" s="720"/>
      <c r="D2" s="1578"/>
      <c r="E2" s="43"/>
      <c r="F2" s="43"/>
    </row>
    <row r="3" spans="1:6" ht="22.5" x14ac:dyDescent="0.4">
      <c r="A3" s="43"/>
      <c r="B3" s="55" t="s">
        <v>1155</v>
      </c>
      <c r="C3" s="747"/>
      <c r="D3" s="1579"/>
      <c r="E3" s="43"/>
      <c r="F3" s="43"/>
    </row>
    <row r="4" spans="1:6" x14ac:dyDescent="0.25">
      <c r="C4" s="85"/>
      <c r="F4" s="1236"/>
    </row>
    <row r="5" spans="1:6" ht="18.75" thickBot="1" x14ac:dyDescent="0.4">
      <c r="A5" s="544"/>
      <c r="B5" s="544"/>
      <c r="C5" s="85"/>
      <c r="F5" s="1236"/>
    </row>
    <row r="6" spans="1:6" ht="60" customHeight="1" thickBot="1" x14ac:dyDescent="0.4">
      <c r="A6" s="1425" t="s">
        <v>567</v>
      </c>
      <c r="B6" s="1426"/>
      <c r="C6" s="551" t="s">
        <v>944</v>
      </c>
      <c r="D6" s="551" t="s">
        <v>943</v>
      </c>
      <c r="E6" s="1620" t="s">
        <v>1078</v>
      </c>
      <c r="F6" s="1728" t="s">
        <v>1097</v>
      </c>
    </row>
    <row r="7" spans="1:6" ht="18" x14ac:dyDescent="0.35">
      <c r="A7" s="748"/>
      <c r="B7" s="749"/>
      <c r="C7" s="85"/>
    </row>
    <row r="8" spans="1:6" ht="18" x14ac:dyDescent="0.35">
      <c r="A8" s="748" t="s">
        <v>558</v>
      </c>
      <c r="B8" s="749" t="s">
        <v>842</v>
      </c>
      <c r="C8" s="1258">
        <v>132100</v>
      </c>
      <c r="D8" s="1580">
        <v>132334</v>
      </c>
      <c r="E8" s="1570">
        <v>132334</v>
      </c>
      <c r="F8" s="1555">
        <v>126310</v>
      </c>
    </row>
    <row r="9" spans="1:6" ht="18.75" thickBot="1" x14ac:dyDescent="0.4">
      <c r="A9" s="1299"/>
      <c r="B9" s="833"/>
      <c r="C9" s="483"/>
      <c r="D9" s="1583"/>
      <c r="E9" s="1572"/>
      <c r="F9" s="1808"/>
    </row>
    <row r="10" spans="1:6" ht="18" x14ac:dyDescent="0.35">
      <c r="A10" s="544" t="s">
        <v>766</v>
      </c>
      <c r="B10" s="134" t="s">
        <v>415</v>
      </c>
      <c r="C10" s="1259">
        <f>SUM(C8:C9)</f>
        <v>132100</v>
      </c>
      <c r="D10" s="1580">
        <f>SUM(D8:D9)</f>
        <v>132334</v>
      </c>
      <c r="E10" s="1570">
        <f>SUM(E8:E9)</f>
        <v>132334</v>
      </c>
      <c r="F10" s="1818">
        <f>SUM(F8:F9)</f>
        <v>126310</v>
      </c>
    </row>
    <row r="11" spans="1:6" ht="18.75" thickBot="1" x14ac:dyDescent="0.4">
      <c r="A11" s="544"/>
      <c r="B11" s="752"/>
      <c r="C11" s="85"/>
    </row>
    <row r="12" spans="1:6" ht="57.75" thickBot="1" x14ac:dyDescent="0.4">
      <c r="A12" s="1425" t="s">
        <v>923</v>
      </c>
      <c r="B12" s="1426"/>
      <c r="C12" s="551" t="s">
        <v>944</v>
      </c>
      <c r="D12" s="1581" t="s">
        <v>943</v>
      </c>
      <c r="E12" s="1620" t="s">
        <v>1078</v>
      </c>
      <c r="F12" s="1728" t="s">
        <v>1097</v>
      </c>
    </row>
    <row r="13" spans="1:6" x14ac:dyDescent="0.25">
      <c r="B13" t="s">
        <v>954</v>
      </c>
      <c r="C13" s="119">
        <v>132100</v>
      </c>
      <c r="D13" s="1580">
        <v>132334</v>
      </c>
      <c r="E13" s="1570">
        <f>D13</f>
        <v>132334</v>
      </c>
      <c r="F13" s="1555">
        <v>126310</v>
      </c>
    </row>
    <row r="14" spans="1:6" ht="16.5" thickBot="1" x14ac:dyDescent="0.3">
      <c r="A14" s="472"/>
      <c r="B14" s="472"/>
      <c r="C14" s="483"/>
      <c r="D14" s="1583"/>
      <c r="E14" s="1572"/>
      <c r="F14" s="1808"/>
    </row>
    <row r="15" spans="1:6" ht="18" x14ac:dyDescent="0.35">
      <c r="B15" s="134" t="s">
        <v>415</v>
      </c>
      <c r="D15" s="1580">
        <f>SUM(D13:D14)</f>
        <v>132334</v>
      </c>
      <c r="E15" s="1570">
        <f>SUM(E13:E14)</f>
        <v>132334</v>
      </c>
      <c r="F15" s="1818">
        <f>SUM(F13:F14)</f>
        <v>126310</v>
      </c>
    </row>
    <row r="16" spans="1:6" ht="18" x14ac:dyDescent="0.35">
      <c r="C16" s="754">
        <f>SUM(C13:C15)</f>
        <v>132100</v>
      </c>
      <c r="F16" s="1236"/>
    </row>
    <row r="17" spans="6:6" x14ac:dyDescent="0.25">
      <c r="F17" s="1236"/>
    </row>
    <row r="18" spans="6:6" x14ac:dyDescent="0.25">
      <c r="F18" s="1236"/>
    </row>
    <row r="19" spans="6:6" x14ac:dyDescent="0.25">
      <c r="F19" s="1236"/>
    </row>
    <row r="20" spans="6:6" x14ac:dyDescent="0.25">
      <c r="F20" s="1236"/>
    </row>
    <row r="21" spans="6:6" x14ac:dyDescent="0.25">
      <c r="F21" s="1236"/>
    </row>
    <row r="22" spans="6:6" x14ac:dyDescent="0.25">
      <c r="F22" s="1236"/>
    </row>
    <row r="23" spans="6:6" x14ac:dyDescent="0.25">
      <c r="F23" s="1236"/>
    </row>
    <row r="24" spans="6:6" x14ac:dyDescent="0.25">
      <c r="F24" s="1236"/>
    </row>
    <row r="25" spans="6:6" x14ac:dyDescent="0.25">
      <c r="F25" s="1236"/>
    </row>
    <row r="26" spans="6:6" x14ac:dyDescent="0.25">
      <c r="F26" s="1236"/>
    </row>
    <row r="27" spans="6:6" x14ac:dyDescent="0.25">
      <c r="F27" s="1236"/>
    </row>
    <row r="28" spans="6:6" x14ac:dyDescent="0.25">
      <c r="F28" s="1236"/>
    </row>
    <row r="29" spans="6:6" x14ac:dyDescent="0.25">
      <c r="F29" s="1236"/>
    </row>
    <row r="30" spans="6:6" x14ac:dyDescent="0.25">
      <c r="F30" s="1236"/>
    </row>
    <row r="31" spans="6:6" x14ac:dyDescent="0.25">
      <c r="F31" s="1236"/>
    </row>
    <row r="32" spans="6:6" x14ac:dyDescent="0.25">
      <c r="F32" s="1236"/>
    </row>
    <row r="33" spans="6:6" x14ac:dyDescent="0.25">
      <c r="F33" s="1236"/>
    </row>
    <row r="34" spans="6:6" x14ac:dyDescent="0.25">
      <c r="F34" s="1236"/>
    </row>
    <row r="35" spans="6:6" x14ac:dyDescent="0.25">
      <c r="F35" s="1236"/>
    </row>
    <row r="36" spans="6:6" x14ac:dyDescent="0.25">
      <c r="F36" s="1236"/>
    </row>
    <row r="37" spans="6:6" x14ac:dyDescent="0.25">
      <c r="F37" s="1236"/>
    </row>
    <row r="38" spans="6:6" x14ac:dyDescent="0.25">
      <c r="F38" s="1236"/>
    </row>
    <row r="39" spans="6:6" x14ac:dyDescent="0.25">
      <c r="F39" s="1236"/>
    </row>
    <row r="40" spans="6:6" x14ac:dyDescent="0.25">
      <c r="F40" s="1236"/>
    </row>
    <row r="41" spans="6:6" x14ac:dyDescent="0.25">
      <c r="F41" s="1236"/>
    </row>
    <row r="42" spans="6:6" x14ac:dyDescent="0.25">
      <c r="F42" s="1236"/>
    </row>
    <row r="43" spans="6:6" x14ac:dyDescent="0.25">
      <c r="F43" s="1236"/>
    </row>
    <row r="44" spans="6:6" x14ac:dyDescent="0.25">
      <c r="F44" s="1236"/>
    </row>
    <row r="45" spans="6:6" x14ac:dyDescent="0.25">
      <c r="F45" s="1236"/>
    </row>
    <row r="46" spans="6:6" x14ac:dyDescent="0.25">
      <c r="F46" s="1236"/>
    </row>
    <row r="47" spans="6:6" x14ac:dyDescent="0.25">
      <c r="F47" s="1236"/>
    </row>
    <row r="48" spans="6:6" x14ac:dyDescent="0.25">
      <c r="F48" s="1236"/>
    </row>
    <row r="49" spans="6:6" x14ac:dyDescent="0.25">
      <c r="F49" s="1236"/>
    </row>
    <row r="50" spans="6:6" x14ac:dyDescent="0.25">
      <c r="F50" s="1236"/>
    </row>
    <row r="51" spans="6:6" x14ac:dyDescent="0.25">
      <c r="F51" s="1236"/>
    </row>
    <row r="52" spans="6:6" x14ac:dyDescent="0.25">
      <c r="F52" s="1236"/>
    </row>
    <row r="53" spans="6:6" x14ac:dyDescent="0.25">
      <c r="F53" s="1236"/>
    </row>
    <row r="54" spans="6:6" x14ac:dyDescent="0.25">
      <c r="F54" s="1236"/>
    </row>
    <row r="55" spans="6:6" x14ac:dyDescent="0.25">
      <c r="F55" s="1236"/>
    </row>
    <row r="56" spans="6:6" x14ac:dyDescent="0.25">
      <c r="F56" s="1236"/>
    </row>
    <row r="57" spans="6:6" x14ac:dyDescent="0.25">
      <c r="F57" s="1236"/>
    </row>
    <row r="58" spans="6:6" x14ac:dyDescent="0.25">
      <c r="F58" s="1236"/>
    </row>
    <row r="59" spans="6:6" x14ac:dyDescent="0.25">
      <c r="F59" s="1236"/>
    </row>
    <row r="60" spans="6:6" x14ac:dyDescent="0.25">
      <c r="F60" s="1236"/>
    </row>
    <row r="61" spans="6:6" x14ac:dyDescent="0.25">
      <c r="F61" s="1236"/>
    </row>
    <row r="62" spans="6:6" x14ac:dyDescent="0.25">
      <c r="F62" s="1236"/>
    </row>
    <row r="63" spans="6:6" x14ac:dyDescent="0.25">
      <c r="F63" s="1236"/>
    </row>
    <row r="64" spans="6:6" x14ac:dyDescent="0.25">
      <c r="F64" s="1236"/>
    </row>
    <row r="65" spans="6:6" x14ac:dyDescent="0.25">
      <c r="F65" s="1236"/>
    </row>
    <row r="66" spans="6:6" x14ac:dyDescent="0.25">
      <c r="F66" s="1236"/>
    </row>
    <row r="67" spans="6:6" x14ac:dyDescent="0.25">
      <c r="F67" s="1236"/>
    </row>
    <row r="68" spans="6:6" x14ac:dyDescent="0.25">
      <c r="F68" s="1236"/>
    </row>
    <row r="69" spans="6:6" x14ac:dyDescent="0.25">
      <c r="F69" s="1236"/>
    </row>
    <row r="70" spans="6:6" x14ac:dyDescent="0.25">
      <c r="F70" s="1236"/>
    </row>
    <row r="71" spans="6:6" x14ac:dyDescent="0.25">
      <c r="F71" s="1236"/>
    </row>
    <row r="72" spans="6:6" x14ac:dyDescent="0.25">
      <c r="F72" s="1236"/>
    </row>
    <row r="73" spans="6:6" x14ac:dyDescent="0.25">
      <c r="F73" s="1236"/>
    </row>
    <row r="74" spans="6:6" x14ac:dyDescent="0.25">
      <c r="F74" s="1236"/>
    </row>
    <row r="75" spans="6:6" x14ac:dyDescent="0.25">
      <c r="F75" s="1236"/>
    </row>
    <row r="76" spans="6:6" x14ac:dyDescent="0.25">
      <c r="F76" s="1236"/>
    </row>
    <row r="77" spans="6:6" x14ac:dyDescent="0.25">
      <c r="F77" s="1236"/>
    </row>
    <row r="78" spans="6:6" x14ac:dyDescent="0.25">
      <c r="F78" s="1236"/>
    </row>
    <row r="79" spans="6:6" x14ac:dyDescent="0.25">
      <c r="F79" s="1236"/>
    </row>
    <row r="80" spans="6:6" x14ac:dyDescent="0.25">
      <c r="F80" s="1236"/>
    </row>
    <row r="81" spans="6:6" x14ac:dyDescent="0.25">
      <c r="F81" s="1236"/>
    </row>
    <row r="82" spans="6:6" x14ac:dyDescent="0.25">
      <c r="F82" s="1236"/>
    </row>
    <row r="83" spans="6:6" x14ac:dyDescent="0.25">
      <c r="F83" s="1236"/>
    </row>
    <row r="84" spans="6:6" x14ac:dyDescent="0.25">
      <c r="F84" s="1236"/>
    </row>
    <row r="85" spans="6:6" x14ac:dyDescent="0.25">
      <c r="F85" s="1236"/>
    </row>
    <row r="86" spans="6:6" x14ac:dyDescent="0.25">
      <c r="F86" s="1236"/>
    </row>
    <row r="87" spans="6:6" x14ac:dyDescent="0.25">
      <c r="F87" s="1236"/>
    </row>
    <row r="88" spans="6:6" x14ac:dyDescent="0.25">
      <c r="F88" s="1236"/>
    </row>
    <row r="89" spans="6:6" x14ac:dyDescent="0.25">
      <c r="F89" s="1236"/>
    </row>
    <row r="90" spans="6:6" x14ac:dyDescent="0.25">
      <c r="F90" s="1236"/>
    </row>
    <row r="91" spans="6:6" x14ac:dyDescent="0.25">
      <c r="F91" s="1236"/>
    </row>
    <row r="92" spans="6:6" x14ac:dyDescent="0.25">
      <c r="F92" s="1236"/>
    </row>
    <row r="93" spans="6:6" x14ac:dyDescent="0.25">
      <c r="F93" s="1236"/>
    </row>
    <row r="94" spans="6:6" x14ac:dyDescent="0.25">
      <c r="F94" s="1236"/>
    </row>
    <row r="95" spans="6:6" x14ac:dyDescent="0.25">
      <c r="F95" s="1236"/>
    </row>
    <row r="96" spans="6:6" x14ac:dyDescent="0.25">
      <c r="F96" s="1236"/>
    </row>
    <row r="97" spans="6:6" x14ac:dyDescent="0.25">
      <c r="F97" s="1236"/>
    </row>
    <row r="98" spans="6:6" x14ac:dyDescent="0.25">
      <c r="F98" s="1236"/>
    </row>
    <row r="99" spans="6:6" x14ac:dyDescent="0.25">
      <c r="F99" s="1236"/>
    </row>
    <row r="100" spans="6:6" x14ac:dyDescent="0.25">
      <c r="F100" s="1236"/>
    </row>
    <row r="101" spans="6:6" x14ac:dyDescent="0.25">
      <c r="F101" s="1236"/>
    </row>
    <row r="102" spans="6:6" x14ac:dyDescent="0.25">
      <c r="F102" s="1236"/>
    </row>
    <row r="103" spans="6:6" x14ac:dyDescent="0.25">
      <c r="F103" s="1236"/>
    </row>
    <row r="104" spans="6:6" x14ac:dyDescent="0.25">
      <c r="F104" s="1236"/>
    </row>
    <row r="105" spans="6:6" x14ac:dyDescent="0.25">
      <c r="F105" s="1236"/>
    </row>
    <row r="106" spans="6:6" x14ac:dyDescent="0.25">
      <c r="F106" s="1236"/>
    </row>
    <row r="107" spans="6:6" x14ac:dyDescent="0.25">
      <c r="F107" s="1236"/>
    </row>
  </sheetData>
  <pageMargins left="0.7" right="0.7" top="0.75" bottom="0.75" header="0.3" footer="0.3"/>
  <pageSetup paperSize="5" scale="74" fitToHeight="0" orientation="portrait" r:id="rId1"/>
  <headerFooter>
    <oddHeader>&amp;RPAGE 48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78"/>
  <sheetViews>
    <sheetView topLeftCell="F1" workbookViewId="0">
      <pane xSplit="1" ySplit="5" topLeftCell="G37" activePane="bottomRight" state="frozen"/>
      <selection activeCell="F1" sqref="F1"/>
      <selection pane="topRight" activeCell="G1" sqref="G1"/>
      <selection pane="bottomLeft" activeCell="F6" sqref="F6"/>
      <selection pane="bottomRight" activeCell="AB52" sqref="AB52"/>
    </sheetView>
  </sheetViews>
  <sheetFormatPr defaultColWidth="9.140625" defaultRowHeight="16.5" x14ac:dyDescent="0.3"/>
  <cols>
    <col min="1" max="3" width="9.140625" style="272"/>
    <col min="4" max="4" width="7.85546875" style="272" customWidth="1"/>
    <col min="5" max="5" width="9.140625" style="272" hidden="1" customWidth="1"/>
    <col min="6" max="6" width="18.140625" style="63" customWidth="1"/>
    <col min="7" max="7" width="67.140625" style="63" customWidth="1"/>
    <col min="8" max="8" width="18.42578125" style="755" hidden="1" customWidth="1"/>
    <col min="9" max="9" width="18.7109375" style="1162" hidden="1" customWidth="1"/>
    <col min="10" max="10" width="20.5703125" style="63" hidden="1" customWidth="1"/>
    <col min="11" max="12" width="17.42578125" style="755" hidden="1" customWidth="1"/>
    <col min="13" max="13" width="18.5703125" style="63" hidden="1" customWidth="1"/>
    <col min="14" max="14" width="17.7109375" style="907" hidden="1" customWidth="1"/>
    <col min="15" max="15" width="21.85546875" style="1162" hidden="1" customWidth="1"/>
    <col min="16" max="16" width="18.85546875" style="755" hidden="1" customWidth="1"/>
    <col min="17" max="17" width="16.5703125" style="755" hidden="1" customWidth="1"/>
    <col min="18" max="18" width="25.28515625" style="755" hidden="1" customWidth="1"/>
    <col min="19" max="19" width="22.42578125" style="755" hidden="1" customWidth="1"/>
    <col min="20" max="20" width="18.7109375" style="755" hidden="1" customWidth="1"/>
    <col min="21" max="21" width="18" style="63" hidden="1" customWidth="1"/>
    <col min="22" max="23" width="21.7109375" style="63" hidden="1" customWidth="1"/>
    <col min="24" max="24" width="17.5703125" style="63" customWidth="1"/>
    <col min="25" max="25" width="21.140625" style="755" bestFit="1" customWidth="1"/>
    <col min="26" max="26" width="13.42578125" style="63" hidden="1" customWidth="1"/>
    <col min="27" max="27" width="13.85546875" style="907" hidden="1" customWidth="1"/>
    <col min="28" max="28" width="20.5703125" style="1694" customWidth="1"/>
    <col min="29" max="16384" width="9.140625" style="63"/>
  </cols>
  <sheetData>
    <row r="1" spans="1:29" ht="21" x14ac:dyDescent="0.4">
      <c r="F1" s="125"/>
      <c r="G1" s="403"/>
      <c r="H1" s="948"/>
      <c r="I1" s="1160"/>
      <c r="J1" s="125"/>
      <c r="K1" s="125"/>
      <c r="L1" s="125"/>
      <c r="M1" s="125"/>
      <c r="N1" s="125"/>
      <c r="O1" s="1281"/>
      <c r="P1" s="948"/>
      <c r="Q1" s="948"/>
      <c r="R1" s="948"/>
      <c r="S1" s="948"/>
      <c r="T1" s="948"/>
      <c r="U1" s="125"/>
      <c r="X1" s="125"/>
      <c r="Y1" s="948"/>
      <c r="Z1" s="125"/>
      <c r="AA1" s="908"/>
      <c r="AB1" s="1693"/>
      <c r="AC1" s="125"/>
    </row>
    <row r="2" spans="1:29" s="125" customFormat="1" ht="21" x14ac:dyDescent="0.4">
      <c r="A2" s="272"/>
      <c r="B2" s="272"/>
      <c r="C2" s="272"/>
      <c r="D2" s="272"/>
      <c r="E2" s="272"/>
      <c r="F2" s="1839" t="s">
        <v>557</v>
      </c>
      <c r="G2" s="1839"/>
      <c r="H2" s="948"/>
      <c r="I2" s="1160"/>
      <c r="K2" s="948"/>
      <c r="L2" s="948"/>
      <c r="N2" s="908"/>
      <c r="O2" s="1160"/>
      <c r="P2" s="948"/>
      <c r="Q2" s="948"/>
      <c r="R2" s="948"/>
      <c r="S2" s="948"/>
      <c r="T2" s="948"/>
      <c r="Y2" s="948"/>
      <c r="AA2" s="908"/>
      <c r="AB2" s="1693"/>
    </row>
    <row r="3" spans="1:29" s="125" customFormat="1" ht="22.5" x14ac:dyDescent="0.3">
      <c r="A3" s="272"/>
      <c r="B3" s="272"/>
      <c r="C3" s="272"/>
      <c r="D3" s="272"/>
      <c r="E3" s="272"/>
      <c r="F3" s="200"/>
      <c r="G3" s="200" t="s">
        <v>1077</v>
      </c>
      <c r="H3" s="948"/>
      <c r="I3" s="1160"/>
      <c r="K3" s="948"/>
      <c r="L3" s="948"/>
      <c r="N3" s="908"/>
      <c r="O3" s="1160"/>
      <c r="P3" s="948"/>
      <c r="Q3" s="948"/>
      <c r="R3" s="948"/>
      <c r="S3" s="948"/>
      <c r="T3" s="948"/>
      <c r="Y3" s="948"/>
      <c r="AA3" s="908"/>
      <c r="AB3" s="1693"/>
    </row>
    <row r="4" spans="1:29" s="125" customFormat="1" ht="23.25" thickBot="1" x14ac:dyDescent="0.45">
      <c r="A4" s="272"/>
      <c r="B4" s="272"/>
      <c r="C4" s="272"/>
      <c r="D4" s="272"/>
      <c r="E4" s="272"/>
      <c r="F4" s="282"/>
      <c r="G4" s="282" t="s">
        <v>1006</v>
      </c>
      <c r="H4" s="948"/>
      <c r="I4" s="1160"/>
      <c r="K4" s="948"/>
      <c r="L4" s="948"/>
      <c r="N4" s="908"/>
      <c r="O4" s="1160"/>
      <c r="P4" s="948"/>
      <c r="Q4" s="948"/>
      <c r="R4" s="948"/>
      <c r="S4" s="948"/>
      <c r="T4" s="948"/>
      <c r="Y4" s="948"/>
      <c r="AA4" s="908"/>
      <c r="AB4" s="1693"/>
    </row>
    <row r="5" spans="1:29" ht="69.95" customHeight="1" thickBot="1" x14ac:dyDescent="0.4">
      <c r="F5" s="339"/>
      <c r="G5" s="339"/>
      <c r="H5" s="551" t="s">
        <v>837</v>
      </c>
      <c r="I5" s="1161" t="s">
        <v>861</v>
      </c>
      <c r="J5" s="909" t="s">
        <v>857</v>
      </c>
      <c r="K5" s="445" t="s">
        <v>877</v>
      </c>
      <c r="L5" s="445" t="s">
        <v>869</v>
      </c>
      <c r="M5" s="909" t="s">
        <v>863</v>
      </c>
      <c r="N5" s="1178" t="s">
        <v>864</v>
      </c>
      <c r="O5" s="1255" t="s">
        <v>960</v>
      </c>
      <c r="P5" s="1428" t="s">
        <v>980</v>
      </c>
      <c r="Q5" s="1428" t="s">
        <v>798</v>
      </c>
      <c r="R5" s="1441" t="s">
        <v>943</v>
      </c>
      <c r="S5" s="1441" t="s">
        <v>963</v>
      </c>
      <c r="T5" s="1441" t="s">
        <v>943</v>
      </c>
      <c r="U5" s="1552" t="s">
        <v>987</v>
      </c>
      <c r="V5" s="909" t="s">
        <v>1012</v>
      </c>
      <c r="W5" s="909" t="s">
        <v>798</v>
      </c>
      <c r="X5" s="909" t="s">
        <v>1011</v>
      </c>
      <c r="Y5" s="1174" t="s">
        <v>1099</v>
      </c>
      <c r="Z5" s="63" t="s">
        <v>798</v>
      </c>
      <c r="AA5" s="1678" t="s">
        <v>659</v>
      </c>
      <c r="AB5" s="1695" t="s">
        <v>1097</v>
      </c>
    </row>
    <row r="6" spans="1:29" ht="20.100000000000001" customHeight="1" thickBot="1" x14ac:dyDescent="0.4">
      <c r="F6" s="645"/>
      <c r="G6" s="646" t="s">
        <v>1088</v>
      </c>
      <c r="J6" s="755">
        <f>I6</f>
        <v>0</v>
      </c>
      <c r="K6" s="1174">
        <v>7928.13</v>
      </c>
      <c r="L6" s="1174"/>
      <c r="M6" s="755">
        <f>K6-J6</f>
        <v>7928.13</v>
      </c>
      <c r="O6" s="1282">
        <v>30875</v>
      </c>
      <c r="P6" s="1521"/>
      <c r="Q6" s="1522">
        <f>O6</f>
        <v>30875</v>
      </c>
      <c r="R6" s="1522">
        <v>1500</v>
      </c>
      <c r="S6" s="1522">
        <v>1500</v>
      </c>
      <c r="T6" s="1522"/>
      <c r="U6" s="1597">
        <v>1500</v>
      </c>
      <c r="V6" s="1521">
        <v>1500</v>
      </c>
      <c r="W6" s="1605">
        <f>V6-U6</f>
        <v>0</v>
      </c>
      <c r="X6" s="1604">
        <f>V6</f>
        <v>1500</v>
      </c>
      <c r="Y6" s="755">
        <f>'[10]GEN 001 SEP 2020 GL'!$F$17</f>
        <v>23958.099999999744</v>
      </c>
      <c r="Z6" s="755">
        <f>Y6-X6</f>
        <v>22458.099999999744</v>
      </c>
      <c r="AA6" s="907">
        <f>Y6/X6</f>
        <v>15.972066666666496</v>
      </c>
      <c r="AB6" s="1694">
        <v>10000</v>
      </c>
    </row>
    <row r="7" spans="1:29" ht="20.100000000000001" customHeight="1" thickBot="1" x14ac:dyDescent="0.35">
      <c r="F7" s="148" t="s">
        <v>22</v>
      </c>
      <c r="G7" s="148" t="s">
        <v>23</v>
      </c>
      <c r="H7" s="949">
        <v>1111997</v>
      </c>
      <c r="I7" s="1162">
        <v>1129000</v>
      </c>
      <c r="J7" s="755">
        <f t="shared" ref="J7:J58" si="0">I7</f>
        <v>1129000</v>
      </c>
      <c r="K7" s="755">
        <f>[11]Sheet1!$B$19</f>
        <v>1077845.2</v>
      </c>
      <c r="M7" s="755">
        <f t="shared" ref="M7:M67" si="1">K7-J7</f>
        <v>-51154.800000000047</v>
      </c>
      <c r="N7" s="907">
        <f t="shared" ref="N7:N69" si="2">K7/J7</f>
        <v>0.95469016829052256</v>
      </c>
      <c r="O7" s="1284">
        <f>I7</f>
        <v>1129000</v>
      </c>
      <c r="P7" s="1523">
        <v>1142436.0099999998</v>
      </c>
      <c r="Q7" s="1524">
        <f>P7-O7</f>
        <v>13436.009999999776</v>
      </c>
      <c r="R7" s="1523">
        <v>1171107</v>
      </c>
      <c r="S7" s="1524">
        <v>1171107</v>
      </c>
      <c r="T7" s="952"/>
      <c r="U7" s="1598">
        <f>1171107+41782</f>
        <v>1212889</v>
      </c>
      <c r="V7" s="1523">
        <v>1294885</v>
      </c>
      <c r="W7" s="1605">
        <f t="shared" ref="W7:W59" si="3">V7-U7</f>
        <v>81996</v>
      </c>
      <c r="X7" s="952">
        <f>V7+12950</f>
        <v>1307835</v>
      </c>
      <c r="Y7" s="755">
        <f>[12]Sheet1!$B$20</f>
        <v>1196437.04</v>
      </c>
      <c r="Z7" s="755">
        <f>Y7-X7</f>
        <v>-111397.95999999996</v>
      </c>
      <c r="AA7" s="907">
        <f>Y7/X7</f>
        <v>0.91482261906127305</v>
      </c>
      <c r="AB7" s="1694">
        <v>1196437</v>
      </c>
    </row>
    <row r="8" spans="1:29" ht="20.100000000000001" customHeight="1" thickBot="1" x14ac:dyDescent="0.35">
      <c r="F8" s="102" t="s">
        <v>660</v>
      </c>
      <c r="G8" s="102" t="s">
        <v>1</v>
      </c>
      <c r="H8" s="950" t="e">
        <f>#REF!</f>
        <v>#REF!</v>
      </c>
      <c r="I8" s="1162">
        <v>27000</v>
      </c>
      <c r="J8" s="755">
        <f t="shared" si="0"/>
        <v>27000</v>
      </c>
      <c r="K8" s="755">
        <f>[11]Sheet1!$D$19</f>
        <v>27000</v>
      </c>
      <c r="M8" s="755">
        <f t="shared" si="1"/>
        <v>0</v>
      </c>
      <c r="N8" s="907">
        <f t="shared" si="2"/>
        <v>1</v>
      </c>
      <c r="O8" s="1285">
        <v>27000</v>
      </c>
      <c r="P8" s="1523">
        <v>27000</v>
      </c>
      <c r="Q8" s="1524">
        <f t="shared" ref="Q8:Q59" si="4">P8-O8</f>
        <v>0</v>
      </c>
      <c r="R8" s="1523">
        <v>19500</v>
      </c>
      <c r="S8" s="1524">
        <v>19500</v>
      </c>
      <c r="T8" s="952"/>
      <c r="U8" s="1599">
        <v>19500</v>
      </c>
      <c r="V8" s="1523">
        <v>19500</v>
      </c>
      <c r="W8" s="1605">
        <f t="shared" si="3"/>
        <v>0</v>
      </c>
      <c r="X8" s="952">
        <f t="shared" ref="X8:X58" si="5">V8</f>
        <v>19500</v>
      </c>
      <c r="Y8" s="755">
        <f>[12]Sheet1!$D$20</f>
        <v>19500</v>
      </c>
      <c r="Z8" s="755">
        <f t="shared" ref="Z8:Z37" si="6">Y8-X8</f>
        <v>0</v>
      </c>
      <c r="AA8" s="907">
        <f>Y8/X8</f>
        <v>1</v>
      </c>
      <c r="AB8" s="1694">
        <v>19500</v>
      </c>
    </row>
    <row r="9" spans="1:29" ht="20.100000000000001" customHeight="1" thickBot="1" x14ac:dyDescent="0.35">
      <c r="F9" s="102" t="s">
        <v>661</v>
      </c>
      <c r="G9" s="102" t="s">
        <v>573</v>
      </c>
      <c r="H9" s="950" t="e">
        <f>#REF!</f>
        <v>#REF!</v>
      </c>
      <c r="I9" s="1162">
        <v>82000</v>
      </c>
      <c r="J9" s="755">
        <f t="shared" si="0"/>
        <v>82000</v>
      </c>
      <c r="K9" s="755">
        <f>[11]Sheet1!$C$19</f>
        <v>81089.899999999994</v>
      </c>
      <c r="M9" s="755">
        <f t="shared" si="1"/>
        <v>-910.10000000000582</v>
      </c>
      <c r="N9" s="907">
        <f t="shared" si="2"/>
        <v>0.98890121951219501</v>
      </c>
      <c r="O9" s="1285">
        <v>85000</v>
      </c>
      <c r="P9" s="1523">
        <v>80478.460000000006</v>
      </c>
      <c r="Q9" s="1524">
        <f t="shared" si="4"/>
        <v>-4521.5399999999936</v>
      </c>
      <c r="R9" s="1523">
        <v>82000</v>
      </c>
      <c r="S9" s="1524">
        <v>81099</v>
      </c>
      <c r="T9" s="952"/>
      <c r="U9" s="1599">
        <v>82000</v>
      </c>
      <c r="V9" s="1523">
        <v>82000</v>
      </c>
      <c r="W9" s="1605">
        <f t="shared" si="3"/>
        <v>0</v>
      </c>
      <c r="X9" s="952">
        <f t="shared" si="5"/>
        <v>82000</v>
      </c>
      <c r="Y9" s="755">
        <f>[12]Sheet1!$C$17</f>
        <v>83117.679999999993</v>
      </c>
      <c r="Z9" s="755">
        <f t="shared" si="6"/>
        <v>1117.679999999993</v>
      </c>
      <c r="AA9" s="907">
        <f>Y9/X9</f>
        <v>1.0136302439024389</v>
      </c>
      <c r="AB9" s="1694">
        <v>83118</v>
      </c>
    </row>
    <row r="10" spans="1:29" ht="20.100000000000001" customHeight="1" thickBot="1" x14ac:dyDescent="0.35">
      <c r="F10" s="102" t="s">
        <v>331</v>
      </c>
      <c r="G10" s="102" t="s">
        <v>524</v>
      </c>
      <c r="H10" s="950">
        <v>0</v>
      </c>
      <c r="J10" s="755">
        <f t="shared" si="0"/>
        <v>0</v>
      </c>
      <c r="M10" s="755"/>
      <c r="O10" s="1285"/>
      <c r="P10" s="1523"/>
      <c r="Q10" s="1524">
        <f t="shared" si="4"/>
        <v>0</v>
      </c>
      <c r="R10" s="1523"/>
      <c r="S10" s="1524"/>
      <c r="T10" s="952"/>
      <c r="U10" s="1599"/>
      <c r="V10" s="1523"/>
      <c r="W10" s="1605">
        <f t="shared" si="3"/>
        <v>0</v>
      </c>
      <c r="X10" s="952">
        <f t="shared" si="5"/>
        <v>0</v>
      </c>
    </row>
    <row r="11" spans="1:29" ht="20.100000000000001" customHeight="1" thickBot="1" x14ac:dyDescent="0.35">
      <c r="F11" s="102" t="s">
        <v>525</v>
      </c>
      <c r="G11" s="102" t="s">
        <v>526</v>
      </c>
      <c r="H11" s="950">
        <v>194975</v>
      </c>
      <c r="I11" s="1162">
        <v>327000</v>
      </c>
      <c r="J11" s="755">
        <f t="shared" si="0"/>
        <v>327000</v>
      </c>
      <c r="K11" s="755">
        <f>[11]Sheet1!$F$19</f>
        <v>271424.57</v>
      </c>
      <c r="M11" s="755">
        <f t="shared" si="1"/>
        <v>-55575.429999999993</v>
      </c>
      <c r="N11" s="907">
        <f t="shared" si="2"/>
        <v>0.8300445565749236</v>
      </c>
      <c r="O11" s="1285">
        <v>300000</v>
      </c>
      <c r="P11" s="1523">
        <v>269642.65000000002</v>
      </c>
      <c r="Q11" s="1524">
        <f t="shared" si="4"/>
        <v>-30357.349999999977</v>
      </c>
      <c r="R11" s="1523">
        <v>270000</v>
      </c>
      <c r="S11" s="1524">
        <v>298358</v>
      </c>
      <c r="T11" s="952"/>
      <c r="U11" s="1599">
        <v>270000</v>
      </c>
      <c r="V11" s="1523">
        <v>291188</v>
      </c>
      <c r="W11" s="1605">
        <f t="shared" si="3"/>
        <v>21188</v>
      </c>
      <c r="X11" s="952">
        <f t="shared" si="5"/>
        <v>291188</v>
      </c>
      <c r="Y11" s="755">
        <f>[12]Sheet1!$F$20</f>
        <v>444361.88</v>
      </c>
      <c r="Z11" s="755">
        <f t="shared" si="6"/>
        <v>153173.88</v>
      </c>
      <c r="AA11" s="907">
        <f t="shared" ref="AA11:AA37" si="7">Y11/X11</f>
        <v>1.5260308803934228</v>
      </c>
      <c r="AB11" s="1694">
        <f>444361-76586</f>
        <v>367775</v>
      </c>
    </row>
    <row r="12" spans="1:29" ht="20.100000000000001" customHeight="1" thickBot="1" x14ac:dyDescent="0.35">
      <c r="F12" s="102" t="s">
        <v>527</v>
      </c>
      <c r="G12" s="102" t="s">
        <v>528</v>
      </c>
      <c r="H12" s="950" t="e">
        <f>(#REF!/10)*12</f>
        <v>#REF!</v>
      </c>
      <c r="I12" s="1162">
        <v>194000</v>
      </c>
      <c r="J12" s="755">
        <f t="shared" si="0"/>
        <v>194000</v>
      </c>
      <c r="K12" s="755">
        <f>[11]Sheet1!$G$19</f>
        <v>307274.68</v>
      </c>
      <c r="M12" s="755">
        <f t="shared" si="1"/>
        <v>113274.68</v>
      </c>
      <c r="N12" s="907">
        <f t="shared" si="2"/>
        <v>1.5838901030927834</v>
      </c>
      <c r="O12" s="1285">
        <v>300000</v>
      </c>
      <c r="P12" s="1523">
        <v>250356.18999999997</v>
      </c>
      <c r="Q12" s="1524">
        <f t="shared" si="4"/>
        <v>-49643.810000000027</v>
      </c>
      <c r="R12" s="1523">
        <v>251000</v>
      </c>
      <c r="S12" s="1524">
        <v>272368</v>
      </c>
      <c r="T12" s="952"/>
      <c r="U12" s="1599">
        <v>251000</v>
      </c>
      <c r="V12" s="1523">
        <v>290000</v>
      </c>
      <c r="W12" s="1605">
        <f t="shared" si="3"/>
        <v>39000</v>
      </c>
      <c r="X12" s="952">
        <f t="shared" si="5"/>
        <v>290000</v>
      </c>
      <c r="Y12" s="755">
        <f>[12]Sheet1!$G$20</f>
        <v>298742.61</v>
      </c>
      <c r="Z12" s="755">
        <f t="shared" si="6"/>
        <v>8742.609999999986</v>
      </c>
      <c r="AA12" s="907">
        <f t="shared" si="7"/>
        <v>1.0301469310344826</v>
      </c>
      <c r="AB12" s="1694">
        <f>297742-4371</f>
        <v>293371</v>
      </c>
    </row>
    <row r="13" spans="1:29" ht="20.100000000000001" customHeight="1" thickBot="1" x14ac:dyDescent="0.35">
      <c r="F13" s="102" t="s">
        <v>529</v>
      </c>
      <c r="G13" s="102" t="s">
        <v>530</v>
      </c>
      <c r="H13" s="950">
        <v>53147</v>
      </c>
      <c r="I13" s="1162">
        <v>64000</v>
      </c>
      <c r="J13" s="755">
        <f t="shared" si="0"/>
        <v>64000</v>
      </c>
      <c r="K13" s="755">
        <f>[11]Sheet1!$H$19</f>
        <v>66658.13</v>
      </c>
      <c r="M13" s="755">
        <f t="shared" si="1"/>
        <v>2658.1300000000047</v>
      </c>
      <c r="N13" s="907">
        <f t="shared" si="2"/>
        <v>1.04153328125</v>
      </c>
      <c r="O13" s="1285">
        <v>64000</v>
      </c>
      <c r="P13" s="1523">
        <v>59929.930000000008</v>
      </c>
      <c r="Q13" s="1524">
        <f t="shared" si="4"/>
        <v>-4070.0699999999924</v>
      </c>
      <c r="R13" s="1523">
        <v>63000</v>
      </c>
      <c r="S13" s="1524">
        <v>63674</v>
      </c>
      <c r="T13" s="952"/>
      <c r="U13" s="1599">
        <v>63000</v>
      </c>
      <c r="V13" s="1523">
        <v>64612</v>
      </c>
      <c r="W13" s="1605">
        <f t="shared" si="3"/>
        <v>1612</v>
      </c>
      <c r="X13" s="952">
        <f t="shared" si="5"/>
        <v>64612</v>
      </c>
      <c r="Y13" s="755">
        <f>[12]Sheet1!$H$20</f>
        <v>64504.560000000012</v>
      </c>
      <c r="Z13" s="755">
        <f t="shared" si="6"/>
        <v>-107.43999999998778</v>
      </c>
      <c r="AA13" s="907">
        <f t="shared" si="7"/>
        <v>0.99833715099362363</v>
      </c>
      <c r="AB13" s="1694">
        <v>64504</v>
      </c>
    </row>
    <row r="14" spans="1:29" ht="20.100000000000001" customHeight="1" thickBot="1" x14ac:dyDescent="0.35">
      <c r="F14" s="102" t="s">
        <v>24</v>
      </c>
      <c r="G14" s="102" t="s">
        <v>2</v>
      </c>
      <c r="H14" s="950">
        <v>31537</v>
      </c>
      <c r="I14" s="1162">
        <v>35000</v>
      </c>
      <c r="J14" s="755">
        <f t="shared" si="0"/>
        <v>35000</v>
      </c>
      <c r="K14" s="755">
        <f>[11]Sheet1!$I$19</f>
        <v>43155.45</v>
      </c>
      <c r="M14" s="755">
        <f t="shared" si="1"/>
        <v>8155.4499999999971</v>
      </c>
      <c r="N14" s="907">
        <f t="shared" si="2"/>
        <v>1.2330128571428571</v>
      </c>
      <c r="O14" s="1285">
        <v>33000</v>
      </c>
      <c r="P14" s="1523">
        <v>24795.96</v>
      </c>
      <c r="Q14" s="1524">
        <f t="shared" si="4"/>
        <v>-8204.0400000000009</v>
      </c>
      <c r="R14" s="1523">
        <v>27000</v>
      </c>
      <c r="S14" s="1524">
        <v>25480</v>
      </c>
      <c r="T14" s="952"/>
      <c r="U14" s="1599">
        <v>27000</v>
      </c>
      <c r="V14" s="1523">
        <v>33494</v>
      </c>
      <c r="W14" s="1605">
        <f t="shared" si="3"/>
        <v>6494</v>
      </c>
      <c r="X14" s="952">
        <f t="shared" si="5"/>
        <v>33494</v>
      </c>
      <c r="Y14" s="755">
        <f>[12]Sheet1!$I$20</f>
        <v>47382.650000000009</v>
      </c>
      <c r="Z14" s="755">
        <f t="shared" si="6"/>
        <v>13888.650000000009</v>
      </c>
      <c r="AA14" s="907">
        <f t="shared" si="7"/>
        <v>1.4146608347763781</v>
      </c>
      <c r="AB14" s="1694">
        <v>33494</v>
      </c>
    </row>
    <row r="15" spans="1:29" ht="20.100000000000001" customHeight="1" thickBot="1" x14ac:dyDescent="0.35">
      <c r="F15" s="102" t="s">
        <v>531</v>
      </c>
      <c r="G15" s="102" t="s">
        <v>532</v>
      </c>
      <c r="H15" s="950">
        <v>9320</v>
      </c>
      <c r="I15" s="1162">
        <v>11000</v>
      </c>
      <c r="J15" s="755">
        <f t="shared" si="0"/>
        <v>11000</v>
      </c>
      <c r="K15" s="755">
        <f>[11]Sheet1!$J$19</f>
        <v>10167.11</v>
      </c>
      <c r="M15" s="755">
        <f t="shared" si="1"/>
        <v>-832.88999999999942</v>
      </c>
      <c r="N15" s="907">
        <f t="shared" si="2"/>
        <v>0.92428272727272731</v>
      </c>
      <c r="O15" s="1285">
        <v>11000</v>
      </c>
      <c r="P15" s="1523">
        <v>9463.17</v>
      </c>
      <c r="Q15" s="1524">
        <f t="shared" si="4"/>
        <v>-1536.83</v>
      </c>
      <c r="R15" s="1523">
        <v>9600</v>
      </c>
      <c r="S15" s="1524">
        <v>10231</v>
      </c>
      <c r="T15" s="952"/>
      <c r="U15" s="1599">
        <v>9600</v>
      </c>
      <c r="V15" s="1523">
        <v>10207</v>
      </c>
      <c r="W15" s="1605">
        <f t="shared" si="3"/>
        <v>607</v>
      </c>
      <c r="X15" s="952">
        <f t="shared" si="5"/>
        <v>10207</v>
      </c>
      <c r="Y15" s="755">
        <f>[12]Sheet1!$J$20</f>
        <v>10607.52</v>
      </c>
      <c r="Z15" s="755">
        <f t="shared" si="6"/>
        <v>400.52000000000044</v>
      </c>
      <c r="AA15" s="907">
        <f t="shared" si="7"/>
        <v>1.0392397374350937</v>
      </c>
      <c r="AB15" s="1694">
        <v>10607</v>
      </c>
    </row>
    <row r="16" spans="1:29" ht="20.100000000000001" customHeight="1" thickBot="1" x14ac:dyDescent="0.35">
      <c r="F16" s="102" t="s">
        <v>692</v>
      </c>
      <c r="G16" s="102" t="s">
        <v>693</v>
      </c>
      <c r="H16" s="950">
        <v>19355</v>
      </c>
      <c r="I16" s="1162">
        <v>36000</v>
      </c>
      <c r="J16" s="755">
        <f t="shared" si="0"/>
        <v>36000</v>
      </c>
      <c r="K16" s="755">
        <f>[11]Sheet1!$K$19</f>
        <v>26452.059999999998</v>
      </c>
      <c r="M16" s="755">
        <f t="shared" si="1"/>
        <v>-9547.9400000000023</v>
      </c>
      <c r="N16" s="907">
        <f t="shared" si="2"/>
        <v>0.73477944444444443</v>
      </c>
      <c r="O16" s="1285"/>
      <c r="P16" s="1523"/>
      <c r="Q16" s="1524">
        <f t="shared" si="4"/>
        <v>0</v>
      </c>
      <c r="R16" s="1523"/>
      <c r="S16" s="1524"/>
      <c r="T16" s="952"/>
      <c r="U16" s="1599"/>
      <c r="V16" s="1523"/>
      <c r="W16" s="1605">
        <f t="shared" si="3"/>
        <v>0</v>
      </c>
      <c r="X16" s="952">
        <f t="shared" si="5"/>
        <v>0</v>
      </c>
      <c r="Y16" s="755">
        <f>[12]Sheet1!$K$20</f>
        <v>393.5</v>
      </c>
      <c r="Z16" s="755">
        <f t="shared" si="6"/>
        <v>393.5</v>
      </c>
      <c r="AA16" s="907">
        <v>1</v>
      </c>
      <c r="AB16" s="1694">
        <v>2973</v>
      </c>
    </row>
    <row r="17" spans="6:28" ht="20.100000000000001" customHeight="1" thickBot="1" x14ac:dyDescent="0.35">
      <c r="F17" s="102" t="s">
        <v>25</v>
      </c>
      <c r="G17" s="102" t="s">
        <v>3</v>
      </c>
      <c r="H17" s="950">
        <v>90</v>
      </c>
      <c r="I17" s="1162">
        <v>130</v>
      </c>
      <c r="J17" s="755">
        <f t="shared" si="0"/>
        <v>130</v>
      </c>
      <c r="K17" s="755">
        <f>[11]Sheet1!$L$19</f>
        <v>118.80000000000001</v>
      </c>
      <c r="M17" s="755">
        <f t="shared" si="1"/>
        <v>-11.199999999999989</v>
      </c>
      <c r="N17" s="907">
        <f t="shared" si="2"/>
        <v>0.91384615384615397</v>
      </c>
      <c r="O17" s="1285">
        <v>110</v>
      </c>
      <c r="P17" s="1523">
        <v>208.58999999999997</v>
      </c>
      <c r="Q17" s="1524">
        <f t="shared" si="4"/>
        <v>98.589999999999975</v>
      </c>
      <c r="R17" s="1523">
        <v>209</v>
      </c>
      <c r="S17" s="1524">
        <v>135</v>
      </c>
      <c r="T17" s="952"/>
      <c r="U17" s="1599">
        <v>209</v>
      </c>
      <c r="V17" s="1523">
        <v>215</v>
      </c>
      <c r="W17" s="1605">
        <f t="shared" si="3"/>
        <v>6</v>
      </c>
      <c r="X17" s="952">
        <f t="shared" si="5"/>
        <v>215</v>
      </c>
      <c r="Y17" s="755">
        <f>[12]Sheet1!$L$20</f>
        <v>717.64999999999986</v>
      </c>
      <c r="Z17" s="755">
        <f t="shared" si="6"/>
        <v>502.64999999999986</v>
      </c>
      <c r="AA17" s="907">
        <f t="shared" si="7"/>
        <v>3.3379069767441854</v>
      </c>
      <c r="AB17" s="1694">
        <v>717</v>
      </c>
    </row>
    <row r="18" spans="6:28" ht="20.100000000000001" customHeight="1" thickBot="1" x14ac:dyDescent="0.35">
      <c r="F18" s="102" t="s">
        <v>533</v>
      </c>
      <c r="G18" s="102" t="s">
        <v>534</v>
      </c>
      <c r="H18" s="950">
        <v>30804</v>
      </c>
      <c r="I18" s="1162">
        <v>13000</v>
      </c>
      <c r="J18" s="755">
        <f t="shared" si="0"/>
        <v>13000</v>
      </c>
      <c r="K18" s="755">
        <f>[11]Sheet1!$M$19</f>
        <v>19770.489999999998</v>
      </c>
      <c r="M18" s="755">
        <f t="shared" si="1"/>
        <v>6770.489999999998</v>
      </c>
      <c r="N18" s="907">
        <f t="shared" si="2"/>
        <v>1.520806923076923</v>
      </c>
      <c r="O18" s="1285">
        <v>20000</v>
      </c>
      <c r="P18" s="1523">
        <v>13076.2</v>
      </c>
      <c r="Q18" s="1524">
        <f t="shared" si="4"/>
        <v>-6923.7999999999993</v>
      </c>
      <c r="R18" s="1523">
        <v>14500</v>
      </c>
      <c r="S18" s="1524">
        <v>14028</v>
      </c>
      <c r="T18" s="952"/>
      <c r="U18" s="1599">
        <v>14500</v>
      </c>
      <c r="V18" s="1523">
        <v>13050</v>
      </c>
      <c r="W18" s="1605">
        <f t="shared" si="3"/>
        <v>-1450</v>
      </c>
      <c r="X18" s="952">
        <f t="shared" si="5"/>
        <v>13050</v>
      </c>
      <c r="Y18" s="755">
        <f>[12]Sheet1!$M$20</f>
        <v>13053.669999999998</v>
      </c>
      <c r="Z18" s="755">
        <f t="shared" si="6"/>
        <v>3.6699999999982538</v>
      </c>
      <c r="AA18" s="907">
        <f t="shared" si="7"/>
        <v>1.0002812260536398</v>
      </c>
      <c r="AB18" s="1694">
        <v>13053</v>
      </c>
    </row>
    <row r="19" spans="6:28" ht="20.100000000000001" customHeight="1" thickBot="1" x14ac:dyDescent="0.35">
      <c r="F19" s="102" t="s">
        <v>535</v>
      </c>
      <c r="G19" s="102" t="s">
        <v>536</v>
      </c>
      <c r="H19" s="950">
        <v>58</v>
      </c>
      <c r="I19" s="1162">
        <v>135</v>
      </c>
      <c r="J19" s="755">
        <f t="shared" si="0"/>
        <v>135</v>
      </c>
      <c r="K19" s="755">
        <f>[11]Sheet1!$N$19</f>
        <v>20.43</v>
      </c>
      <c r="M19" s="755">
        <f t="shared" si="1"/>
        <v>-114.57</v>
      </c>
      <c r="N19" s="907">
        <f t="shared" si="2"/>
        <v>0.15133333333333332</v>
      </c>
      <c r="O19" s="1285">
        <v>20</v>
      </c>
      <c r="P19" s="1523">
        <v>60.97</v>
      </c>
      <c r="Q19" s="1524">
        <f t="shared" si="4"/>
        <v>40.97</v>
      </c>
      <c r="R19" s="1523">
        <v>61</v>
      </c>
      <c r="S19" s="1524">
        <v>61</v>
      </c>
      <c r="T19" s="952"/>
      <c r="U19" s="1599">
        <v>61</v>
      </c>
      <c r="V19" s="1523">
        <v>59</v>
      </c>
      <c r="W19" s="1605">
        <f t="shared" si="3"/>
        <v>-2</v>
      </c>
      <c r="X19" s="952">
        <f t="shared" si="5"/>
        <v>59</v>
      </c>
      <c r="Y19" s="755">
        <f>[12]Sheet1!$N$20</f>
        <v>287.02</v>
      </c>
      <c r="Z19" s="755">
        <f t="shared" si="6"/>
        <v>228.01999999999998</v>
      </c>
      <c r="AA19" s="907">
        <f t="shared" si="7"/>
        <v>4.8647457627118644</v>
      </c>
      <c r="AB19" s="1694">
        <v>287</v>
      </c>
    </row>
    <row r="20" spans="6:28" ht="20.100000000000001" customHeight="1" thickBot="1" x14ac:dyDescent="0.35">
      <c r="F20" s="102" t="s">
        <v>26</v>
      </c>
      <c r="G20" s="102" t="s">
        <v>4</v>
      </c>
      <c r="H20" s="950">
        <v>760</v>
      </c>
      <c r="I20" s="1162">
        <v>625</v>
      </c>
      <c r="J20" s="755">
        <f t="shared" si="0"/>
        <v>625</v>
      </c>
      <c r="K20" s="755">
        <f>[11]Sheet1!$O$19</f>
        <v>2058.84</v>
      </c>
      <c r="M20" s="755">
        <f t="shared" si="1"/>
        <v>1433.8400000000001</v>
      </c>
      <c r="N20" s="907">
        <f t="shared" si="2"/>
        <v>3.2941440000000002</v>
      </c>
      <c r="O20" s="1285">
        <v>1950</v>
      </c>
      <c r="P20" s="1523">
        <v>7735.6299999999992</v>
      </c>
      <c r="Q20" s="1524">
        <f t="shared" si="4"/>
        <v>5785.6299999999992</v>
      </c>
      <c r="R20" s="1523">
        <v>7800</v>
      </c>
      <c r="S20" s="1524">
        <v>3159</v>
      </c>
      <c r="T20" s="952"/>
      <c r="U20" s="1599">
        <v>7800</v>
      </c>
      <c r="V20" s="1523">
        <v>7920</v>
      </c>
      <c r="W20" s="1605">
        <f t="shared" si="3"/>
        <v>120</v>
      </c>
      <c r="X20" s="952">
        <f t="shared" si="5"/>
        <v>7920</v>
      </c>
      <c r="Y20" s="755">
        <f>[12]Sheet1!$O$20</f>
        <v>2217.09</v>
      </c>
      <c r="Z20" s="755">
        <f t="shared" si="6"/>
        <v>-5702.91</v>
      </c>
      <c r="AA20" s="907">
        <f t="shared" si="7"/>
        <v>0.27993560606060608</v>
      </c>
      <c r="AB20" s="1694">
        <v>2217</v>
      </c>
    </row>
    <row r="21" spans="6:28" ht="20.100000000000001" customHeight="1" thickBot="1" x14ac:dyDescent="0.35">
      <c r="F21" s="102" t="s">
        <v>27</v>
      </c>
      <c r="G21" s="102" t="s">
        <v>5</v>
      </c>
      <c r="H21" s="950" t="e">
        <f>(#REF!/10)*12</f>
        <v>#REF!</v>
      </c>
      <c r="I21" s="1162">
        <v>4270</v>
      </c>
      <c r="J21" s="755">
        <f t="shared" si="0"/>
        <v>4270</v>
      </c>
      <c r="K21" s="755">
        <f>[11]Sheet1!$Q$19</f>
        <v>6615</v>
      </c>
      <c r="M21" s="755">
        <f t="shared" si="1"/>
        <v>2345</v>
      </c>
      <c r="N21" s="907">
        <f t="shared" si="2"/>
        <v>1.5491803278688525</v>
      </c>
      <c r="O21" s="1285">
        <v>6100</v>
      </c>
      <c r="P21" s="1523">
        <v>6289</v>
      </c>
      <c r="Q21" s="1524">
        <f t="shared" si="4"/>
        <v>189</v>
      </c>
      <c r="R21" s="1523">
        <v>7000</v>
      </c>
      <c r="S21" s="1524">
        <v>6769</v>
      </c>
      <c r="T21" s="952"/>
      <c r="U21" s="1599">
        <v>7000</v>
      </c>
      <c r="V21" s="1523">
        <v>8063</v>
      </c>
      <c r="W21" s="1605">
        <f t="shared" si="3"/>
        <v>1063</v>
      </c>
      <c r="X21" s="952">
        <f t="shared" si="5"/>
        <v>8063</v>
      </c>
      <c r="Y21" s="755">
        <f>[12]Sheet1!$Q$20</f>
        <v>10434</v>
      </c>
      <c r="Z21" s="755">
        <f t="shared" si="6"/>
        <v>2371</v>
      </c>
      <c r="AA21" s="907">
        <f t="shared" si="7"/>
        <v>1.2940592831452313</v>
      </c>
      <c r="AB21" s="1694">
        <v>10434</v>
      </c>
    </row>
    <row r="22" spans="6:28" ht="20.100000000000001" customHeight="1" thickBot="1" x14ac:dyDescent="0.35">
      <c r="F22" s="102" t="s">
        <v>28</v>
      </c>
      <c r="G22" s="102" t="s">
        <v>6</v>
      </c>
      <c r="H22" s="950">
        <v>5000</v>
      </c>
      <c r="I22" s="1162">
        <v>4500</v>
      </c>
      <c r="J22" s="755">
        <f t="shared" si="0"/>
        <v>4500</v>
      </c>
      <c r="K22" s="755">
        <f>[11]Sheet1!$R$19</f>
        <v>5291.5</v>
      </c>
      <c r="M22" s="755">
        <f t="shared" si="1"/>
        <v>791.5</v>
      </c>
      <c r="N22" s="907">
        <f t="shared" si="2"/>
        <v>1.175888888888889</v>
      </c>
      <c r="O22" s="1285">
        <v>5200</v>
      </c>
      <c r="P22" s="1523">
        <v>4216</v>
      </c>
      <c r="Q22" s="1524">
        <f t="shared" si="4"/>
        <v>-984</v>
      </c>
      <c r="R22" s="1523">
        <v>4250</v>
      </c>
      <c r="S22" s="1524">
        <v>4325</v>
      </c>
      <c r="T22" s="952"/>
      <c r="U22" s="1599">
        <v>4250</v>
      </c>
      <c r="V22" s="1523">
        <v>3852</v>
      </c>
      <c r="W22" s="1605">
        <f t="shared" si="3"/>
        <v>-398</v>
      </c>
      <c r="X22" s="952">
        <f t="shared" si="5"/>
        <v>3852</v>
      </c>
      <c r="Y22" s="755">
        <f>[12]Sheet1!$R$20</f>
        <v>4757.5</v>
      </c>
      <c r="Z22" s="755">
        <f t="shared" si="6"/>
        <v>905.5</v>
      </c>
      <c r="AA22" s="907">
        <f t="shared" si="7"/>
        <v>1.2350726895119419</v>
      </c>
      <c r="AB22" s="1694">
        <v>4757</v>
      </c>
    </row>
    <row r="23" spans="6:28" ht="20.100000000000001" customHeight="1" thickBot="1" x14ac:dyDescent="0.35">
      <c r="F23" s="102" t="s">
        <v>537</v>
      </c>
      <c r="G23" s="102" t="s">
        <v>538</v>
      </c>
      <c r="H23" s="950"/>
      <c r="J23" s="755">
        <f t="shared" si="0"/>
        <v>0</v>
      </c>
      <c r="M23" s="755"/>
      <c r="O23" s="1285"/>
      <c r="P23" s="1523"/>
      <c r="Q23" s="1524">
        <f t="shared" si="4"/>
        <v>0</v>
      </c>
      <c r="R23" s="1523"/>
      <c r="S23" s="1524"/>
      <c r="T23" s="952"/>
      <c r="U23" s="1599"/>
      <c r="V23" s="1523"/>
      <c r="W23" s="1605">
        <f t="shared" si="3"/>
        <v>0</v>
      </c>
      <c r="X23" s="952">
        <f t="shared" si="5"/>
        <v>0</v>
      </c>
    </row>
    <row r="24" spans="6:28" ht="20.100000000000001" customHeight="1" thickBot="1" x14ac:dyDescent="0.35">
      <c r="F24" s="102" t="s">
        <v>29</v>
      </c>
      <c r="G24" s="102" t="s">
        <v>7</v>
      </c>
      <c r="H24" s="950">
        <v>2725</v>
      </c>
      <c r="I24" s="1162">
        <v>2300</v>
      </c>
      <c r="J24" s="755">
        <f t="shared" si="0"/>
        <v>2300</v>
      </c>
      <c r="K24" s="755">
        <f>[11]Sheet1!$S$19</f>
        <v>1850</v>
      </c>
      <c r="M24" s="755">
        <f t="shared" si="1"/>
        <v>-450</v>
      </c>
      <c r="N24" s="907">
        <f t="shared" si="2"/>
        <v>0.80434782608695654</v>
      </c>
      <c r="O24" s="1285">
        <v>1850</v>
      </c>
      <c r="P24" s="1523">
        <v>1875</v>
      </c>
      <c r="Q24" s="1524">
        <f t="shared" si="4"/>
        <v>25</v>
      </c>
      <c r="R24" s="1523">
        <v>1900</v>
      </c>
      <c r="S24" s="1524">
        <v>1925</v>
      </c>
      <c r="T24" s="952"/>
      <c r="U24" s="1599">
        <v>1900</v>
      </c>
      <c r="V24" s="1523">
        <v>1850</v>
      </c>
      <c r="W24" s="1605">
        <f t="shared" si="3"/>
        <v>-50</v>
      </c>
      <c r="X24" s="952">
        <f t="shared" si="5"/>
        <v>1850</v>
      </c>
      <c r="Y24" s="755">
        <f>[12]Sheet1!$S$20</f>
        <v>1950</v>
      </c>
      <c r="Z24" s="755">
        <f t="shared" si="6"/>
        <v>100</v>
      </c>
      <c r="AA24" s="907">
        <f t="shared" si="7"/>
        <v>1.0540540540540539</v>
      </c>
      <c r="AB24" s="1694">
        <v>1950</v>
      </c>
    </row>
    <row r="25" spans="6:28" ht="20.100000000000001" customHeight="1" thickBot="1" x14ac:dyDescent="0.35">
      <c r="F25" s="102" t="s">
        <v>30</v>
      </c>
      <c r="G25" s="102" t="s">
        <v>8</v>
      </c>
      <c r="H25" s="950">
        <v>1545</v>
      </c>
      <c r="I25" s="1162">
        <v>1500</v>
      </c>
      <c r="J25" s="755">
        <f t="shared" si="0"/>
        <v>1500</v>
      </c>
      <c r="K25" s="755">
        <f>[11]Sheet1!$T$19</f>
        <v>1597.34</v>
      </c>
      <c r="M25" s="755">
        <f t="shared" si="1"/>
        <v>97.339999999999918</v>
      </c>
      <c r="N25" s="907">
        <f t="shared" si="2"/>
        <v>1.0648933333333332</v>
      </c>
      <c r="O25" s="1285">
        <v>1500</v>
      </c>
      <c r="P25" s="1523">
        <v>1595.9399999999998</v>
      </c>
      <c r="Q25" s="1524">
        <f t="shared" si="4"/>
        <v>95.939999999999827</v>
      </c>
      <c r="R25" s="1523">
        <v>1600</v>
      </c>
      <c r="S25" s="1524">
        <v>1700</v>
      </c>
      <c r="T25" s="952"/>
      <c r="U25" s="1599">
        <v>1600</v>
      </c>
      <c r="V25" s="1523">
        <v>1660</v>
      </c>
      <c r="W25" s="1605">
        <f t="shared" si="3"/>
        <v>60</v>
      </c>
      <c r="X25" s="952">
        <f t="shared" si="5"/>
        <v>1660</v>
      </c>
      <c r="Y25" s="755">
        <f>[12]Sheet1!$T$20</f>
        <v>1911.71</v>
      </c>
      <c r="Z25" s="755">
        <f t="shared" si="6"/>
        <v>251.71000000000004</v>
      </c>
      <c r="AA25" s="907">
        <f t="shared" si="7"/>
        <v>1.1516325301204819</v>
      </c>
      <c r="AB25" s="1694">
        <v>1911</v>
      </c>
    </row>
    <row r="26" spans="6:28" ht="20.100000000000001" customHeight="1" thickBot="1" x14ac:dyDescent="0.35">
      <c r="F26" s="273" t="s">
        <v>35</v>
      </c>
      <c r="G26" s="102" t="s">
        <v>48</v>
      </c>
      <c r="H26" s="950">
        <v>5452</v>
      </c>
      <c r="I26" s="1162">
        <v>5500</v>
      </c>
      <c r="J26" s="755">
        <f t="shared" si="0"/>
        <v>5500</v>
      </c>
      <c r="K26" s="755">
        <f>[11]Sheet1!$U$19</f>
        <v>5270.36</v>
      </c>
      <c r="M26" s="755">
        <f t="shared" si="1"/>
        <v>-229.64000000000033</v>
      </c>
      <c r="N26" s="907">
        <f t="shared" si="2"/>
        <v>0.95824727272727261</v>
      </c>
      <c r="O26" s="1285">
        <v>5200</v>
      </c>
      <c r="P26" s="1523">
        <v>5473.67</v>
      </c>
      <c r="Q26" s="1524">
        <f t="shared" si="4"/>
        <v>273.67000000000007</v>
      </c>
      <c r="R26" s="1523">
        <v>5500</v>
      </c>
      <c r="S26" s="1524">
        <v>5300</v>
      </c>
      <c r="T26" s="952"/>
      <c r="U26" s="1599">
        <v>5500</v>
      </c>
      <c r="V26" s="1523">
        <v>4941</v>
      </c>
      <c r="W26" s="1605">
        <f t="shared" si="3"/>
        <v>-559</v>
      </c>
      <c r="X26" s="952">
        <f t="shared" si="5"/>
        <v>4941</v>
      </c>
      <c r="Y26" s="755">
        <f>[12]Sheet1!$U$20</f>
        <v>573.24</v>
      </c>
      <c r="Z26" s="755">
        <f t="shared" si="6"/>
        <v>-4367.76</v>
      </c>
      <c r="AA26" s="907">
        <f t="shared" si="7"/>
        <v>0.11601700060716455</v>
      </c>
      <c r="AB26" s="1694">
        <v>573</v>
      </c>
    </row>
    <row r="27" spans="6:28" ht="20.100000000000001" customHeight="1" thickBot="1" x14ac:dyDescent="0.35">
      <c r="F27" s="102" t="s">
        <v>31</v>
      </c>
      <c r="G27" s="102" t="s">
        <v>9</v>
      </c>
      <c r="H27" s="950">
        <v>104505</v>
      </c>
      <c r="I27" s="1162">
        <v>110000</v>
      </c>
      <c r="J27" s="755">
        <f t="shared" si="0"/>
        <v>110000</v>
      </c>
      <c r="K27" s="755">
        <f>[11]Sheet1!$V$17</f>
        <v>106786.97</v>
      </c>
      <c r="M27" s="755">
        <f t="shared" si="1"/>
        <v>-3213.0299999999988</v>
      </c>
      <c r="N27" s="907">
        <f t="shared" si="2"/>
        <v>0.97079063636363638</v>
      </c>
      <c r="O27" s="1285">
        <v>116384</v>
      </c>
      <c r="P27" s="1523">
        <v>94167.590000000011</v>
      </c>
      <c r="Q27" s="1524">
        <f t="shared" si="4"/>
        <v>-22216.409999999989</v>
      </c>
      <c r="R27" s="1523">
        <v>102000</v>
      </c>
      <c r="S27" s="1524">
        <v>103157</v>
      </c>
      <c r="T27" s="952"/>
      <c r="U27" s="1599">
        <v>102000</v>
      </c>
      <c r="V27" s="1523">
        <v>104555</v>
      </c>
      <c r="W27" s="1605">
        <f t="shared" si="3"/>
        <v>2555</v>
      </c>
      <c r="X27" s="952">
        <f t="shared" si="5"/>
        <v>104555</v>
      </c>
      <c r="Y27" s="755">
        <f>[12]Sheet1!$V$20</f>
        <v>105647.84</v>
      </c>
      <c r="Z27" s="755">
        <f t="shared" si="6"/>
        <v>1092.8399999999965</v>
      </c>
      <c r="AA27" s="907">
        <f t="shared" si="7"/>
        <v>1.0104522978336761</v>
      </c>
      <c r="AB27" s="1694">
        <v>105647</v>
      </c>
    </row>
    <row r="28" spans="6:28" ht="20.100000000000001" customHeight="1" thickBot="1" x14ac:dyDescent="0.35">
      <c r="F28" s="102" t="s">
        <v>32</v>
      </c>
      <c r="G28" s="102" t="s">
        <v>539</v>
      </c>
      <c r="H28" s="950">
        <v>24000</v>
      </c>
      <c r="I28" s="1162">
        <v>25000</v>
      </c>
      <c r="J28" s="755">
        <f t="shared" si="0"/>
        <v>25000</v>
      </c>
      <c r="K28" s="755">
        <v>23011</v>
      </c>
      <c r="M28" s="755">
        <f t="shared" si="1"/>
        <v>-1989</v>
      </c>
      <c r="N28" s="907">
        <f t="shared" si="2"/>
        <v>0.92044000000000004</v>
      </c>
      <c r="O28" s="1285">
        <v>25000</v>
      </c>
      <c r="P28" s="1523">
        <v>17119.830000000002</v>
      </c>
      <c r="Q28" s="1524">
        <f t="shared" si="4"/>
        <v>-7880.1699999999983</v>
      </c>
      <c r="R28" s="1523">
        <v>18000</v>
      </c>
      <c r="S28" s="1524">
        <v>17119</v>
      </c>
      <c r="T28" s="952"/>
      <c r="U28" s="1599">
        <v>18000</v>
      </c>
      <c r="V28" s="1523">
        <v>18000</v>
      </c>
      <c r="W28" s="1605">
        <f t="shared" si="3"/>
        <v>0</v>
      </c>
      <c r="X28" s="952">
        <f t="shared" si="5"/>
        <v>18000</v>
      </c>
      <c r="Y28" s="755">
        <f>[12]Sheet1!$W$20</f>
        <v>58874.409999999996</v>
      </c>
      <c r="Z28" s="755">
        <f t="shared" si="6"/>
        <v>40874.409999999996</v>
      </c>
      <c r="AA28" s="907">
        <f t="shared" si="7"/>
        <v>3.2708005555555553</v>
      </c>
      <c r="AB28" s="1694">
        <v>29437</v>
      </c>
    </row>
    <row r="29" spans="6:28" ht="20.100000000000001" customHeight="1" thickBot="1" x14ac:dyDescent="0.35">
      <c r="F29" s="102" t="s">
        <v>33</v>
      </c>
      <c r="G29" s="102" t="s">
        <v>10</v>
      </c>
      <c r="H29" s="950">
        <v>2915</v>
      </c>
      <c r="I29" s="1162">
        <v>2160</v>
      </c>
      <c r="J29" s="755">
        <f t="shared" si="0"/>
        <v>2160</v>
      </c>
      <c r="K29" s="755">
        <f>[11]Sheet1!$X$17</f>
        <v>3239.6400000000008</v>
      </c>
      <c r="M29" s="755">
        <f t="shared" si="1"/>
        <v>1079.6400000000008</v>
      </c>
      <c r="N29" s="907">
        <f t="shared" si="2"/>
        <v>1.4998333333333338</v>
      </c>
      <c r="O29" s="1285">
        <v>2700</v>
      </c>
      <c r="P29" s="1523">
        <v>2699.7000000000007</v>
      </c>
      <c r="Q29" s="1524">
        <f t="shared" si="4"/>
        <v>-0.2999999999992724</v>
      </c>
      <c r="R29" s="1523">
        <v>3000</v>
      </c>
      <c r="S29" s="1524">
        <v>3019</v>
      </c>
      <c r="T29" s="952"/>
      <c r="U29" s="1599">
        <v>3000</v>
      </c>
      <c r="V29" s="1523">
        <v>3228</v>
      </c>
      <c r="W29" s="1605">
        <f t="shared" si="3"/>
        <v>228</v>
      </c>
      <c r="X29" s="952">
        <f t="shared" si="5"/>
        <v>3228</v>
      </c>
      <c r="Y29" s="755">
        <f>[12]Sheet1!$X$20</f>
        <v>2969.6700000000005</v>
      </c>
      <c r="Z29" s="755">
        <f t="shared" si="6"/>
        <v>-258.32999999999947</v>
      </c>
      <c r="AA29" s="907">
        <f t="shared" si="7"/>
        <v>0.91997211895910802</v>
      </c>
      <c r="AB29" s="1694">
        <v>2969</v>
      </c>
    </row>
    <row r="30" spans="6:28" ht="20.100000000000001" customHeight="1" thickBot="1" x14ac:dyDescent="0.35">
      <c r="F30" s="102" t="s">
        <v>34</v>
      </c>
      <c r="G30" s="102" t="s">
        <v>11</v>
      </c>
      <c r="H30" s="950">
        <v>51517</v>
      </c>
      <c r="I30" s="1162">
        <v>93000</v>
      </c>
      <c r="J30" s="755">
        <f t="shared" si="0"/>
        <v>93000</v>
      </c>
      <c r="K30" s="755">
        <f>[11]Sheet1!$Y$19</f>
        <v>52293.02</v>
      </c>
      <c r="M30" s="755">
        <f t="shared" si="1"/>
        <v>-40706.980000000003</v>
      </c>
      <c r="N30" s="907">
        <f t="shared" si="2"/>
        <v>0.56229053763440862</v>
      </c>
      <c r="O30" s="1285">
        <v>53000</v>
      </c>
      <c r="P30" s="1523">
        <v>48109.02</v>
      </c>
      <c r="Q30" s="1524">
        <f t="shared" si="4"/>
        <v>-4890.9800000000032</v>
      </c>
      <c r="R30" s="1523">
        <v>48110</v>
      </c>
      <c r="S30" s="1524">
        <v>55769</v>
      </c>
      <c r="T30" s="952"/>
      <c r="U30" s="1599">
        <v>48110</v>
      </c>
      <c r="V30" s="1523">
        <v>48470</v>
      </c>
      <c r="W30" s="1605">
        <f t="shared" si="3"/>
        <v>360</v>
      </c>
      <c r="X30" s="952">
        <f t="shared" si="5"/>
        <v>48470</v>
      </c>
      <c r="Y30" s="755">
        <f>[12]Sheet1!$Y$20</f>
        <v>53478.470477000003</v>
      </c>
      <c r="Z30" s="755">
        <f t="shared" si="6"/>
        <v>5008.4704770000026</v>
      </c>
      <c r="AA30" s="907">
        <f t="shared" si="7"/>
        <v>1.1033313488136993</v>
      </c>
      <c r="AB30" s="1694">
        <v>53478</v>
      </c>
    </row>
    <row r="31" spans="6:28" ht="20.100000000000001" customHeight="1" thickBot="1" x14ac:dyDescent="0.35">
      <c r="F31" s="102" t="s">
        <v>878</v>
      </c>
      <c r="G31" s="102" t="s">
        <v>879</v>
      </c>
      <c r="H31" s="950"/>
      <c r="J31" s="755"/>
      <c r="M31" s="755"/>
      <c r="O31" s="1285"/>
      <c r="P31" s="1523">
        <v>10766</v>
      </c>
      <c r="Q31" s="1524">
        <f t="shared" si="4"/>
        <v>10766</v>
      </c>
      <c r="R31" s="1523">
        <v>15000</v>
      </c>
      <c r="S31" s="1524">
        <v>10000</v>
      </c>
      <c r="T31" s="952"/>
      <c r="U31" s="1599">
        <v>15000</v>
      </c>
      <c r="V31" s="1523">
        <v>19000</v>
      </c>
      <c r="W31" s="1605">
        <f t="shared" si="3"/>
        <v>4000</v>
      </c>
      <c r="X31" s="952">
        <f t="shared" si="5"/>
        <v>19000</v>
      </c>
      <c r="Y31" s="755">
        <f>[12]Sheet1!$AA$20</f>
        <v>28095.25</v>
      </c>
      <c r="Z31" s="755">
        <f t="shared" si="6"/>
        <v>9095.25</v>
      </c>
      <c r="AA31" s="907">
        <f t="shared" si="7"/>
        <v>1.4786973684210527</v>
      </c>
      <c r="AB31" s="1694">
        <v>28095</v>
      </c>
    </row>
    <row r="32" spans="6:28" ht="20.100000000000001" customHeight="1" thickBot="1" x14ac:dyDescent="0.35">
      <c r="F32" s="102" t="s">
        <v>36</v>
      </c>
      <c r="G32" s="102" t="s">
        <v>1085</v>
      </c>
      <c r="H32" s="950">
        <v>60000</v>
      </c>
      <c r="I32" s="1162">
        <v>50000</v>
      </c>
      <c r="J32" s="755">
        <f t="shared" si="0"/>
        <v>50000</v>
      </c>
      <c r="M32" s="755">
        <f t="shared" si="1"/>
        <v>-50000</v>
      </c>
      <c r="N32" s="907">
        <f t="shared" si="2"/>
        <v>0</v>
      </c>
      <c r="O32" s="1285">
        <v>50000</v>
      </c>
      <c r="P32" s="1523">
        <v>0</v>
      </c>
      <c r="Q32" s="1524">
        <f t="shared" si="4"/>
        <v>-50000</v>
      </c>
      <c r="R32" s="1523">
        <v>45000</v>
      </c>
      <c r="S32" s="1524">
        <v>45000</v>
      </c>
      <c r="T32" s="952"/>
      <c r="U32" s="1599">
        <v>45000</v>
      </c>
      <c r="V32" s="1523">
        <v>38174</v>
      </c>
      <c r="W32" s="1605">
        <f t="shared" si="3"/>
        <v>-6826</v>
      </c>
      <c r="X32" s="952">
        <f t="shared" si="5"/>
        <v>38174</v>
      </c>
    </row>
    <row r="33" spans="6:28" ht="20.100000000000001" customHeight="1" thickBot="1" x14ac:dyDescent="0.35">
      <c r="F33" s="102" t="s">
        <v>37</v>
      </c>
      <c r="G33" s="102" t="s">
        <v>13</v>
      </c>
      <c r="H33" s="950">
        <v>21459</v>
      </c>
      <c r="I33" s="1162">
        <v>27000</v>
      </c>
      <c r="J33" s="1179">
        <v>36108</v>
      </c>
      <c r="K33" s="755">
        <f>[11]Sheet1!$AC$19</f>
        <v>16362.800000000001</v>
      </c>
      <c r="M33" s="755">
        <f t="shared" si="1"/>
        <v>-19745.199999999997</v>
      </c>
      <c r="N33" s="907">
        <f t="shared" si="2"/>
        <v>0.45316273402016177</v>
      </c>
      <c r="O33" s="1285">
        <v>38754</v>
      </c>
      <c r="P33" s="1523">
        <v>28075.119999999999</v>
      </c>
      <c r="Q33" s="1524">
        <f t="shared" si="4"/>
        <v>-10678.880000000001</v>
      </c>
      <c r="R33" s="1523">
        <v>28100</v>
      </c>
      <c r="S33" s="1524">
        <v>44000</v>
      </c>
      <c r="T33" s="952"/>
      <c r="U33" s="1600">
        <v>28100</v>
      </c>
      <c r="V33" s="1523">
        <v>24480</v>
      </c>
      <c r="W33" s="1605">
        <f t="shared" si="3"/>
        <v>-3620</v>
      </c>
      <c r="X33" s="952">
        <f t="shared" si="5"/>
        <v>24480</v>
      </c>
      <c r="Y33" s="755">
        <f>[12]Sheet1!$AC$20</f>
        <v>26180.479999999996</v>
      </c>
      <c r="Z33" s="755">
        <f t="shared" si="6"/>
        <v>1700.4799999999959</v>
      </c>
      <c r="AA33" s="907">
        <f t="shared" si="7"/>
        <v>1.0694640522875816</v>
      </c>
      <c r="AB33" s="1694">
        <v>24480</v>
      </c>
    </row>
    <row r="34" spans="6:28" ht="20.100000000000001" customHeight="1" thickBot="1" x14ac:dyDescent="0.35">
      <c r="F34" s="102" t="s">
        <v>38</v>
      </c>
      <c r="G34" s="102" t="s">
        <v>574</v>
      </c>
      <c r="H34" s="950">
        <v>178</v>
      </c>
      <c r="I34" s="1162">
        <v>172</v>
      </c>
      <c r="J34" s="755">
        <f t="shared" si="0"/>
        <v>172</v>
      </c>
      <c r="K34" s="755">
        <f>[11]Sheet1!$AD$19</f>
        <v>177.95999999999998</v>
      </c>
      <c r="M34" s="755">
        <f t="shared" si="1"/>
        <v>5.9599999999999795</v>
      </c>
      <c r="N34" s="907">
        <f t="shared" si="2"/>
        <v>1.0346511627906976</v>
      </c>
      <c r="O34" s="1285">
        <v>178</v>
      </c>
      <c r="P34" s="1523">
        <v>165.71999999999997</v>
      </c>
      <c r="Q34" s="1524">
        <f t="shared" si="4"/>
        <v>-12.28000000000003</v>
      </c>
      <c r="R34" s="1523">
        <v>185</v>
      </c>
      <c r="S34" s="1524">
        <v>178</v>
      </c>
      <c r="T34" s="952"/>
      <c r="U34" s="1601">
        <v>185</v>
      </c>
      <c r="V34" s="1523">
        <v>236</v>
      </c>
      <c r="W34" s="1605">
        <f t="shared" si="3"/>
        <v>51</v>
      </c>
      <c r="X34" s="952">
        <f t="shared" si="5"/>
        <v>236</v>
      </c>
      <c r="Y34" s="755">
        <f>[12]Sheet1!$AD$20</f>
        <v>97.109999999999985</v>
      </c>
      <c r="Z34" s="755">
        <f t="shared" si="6"/>
        <v>-138.89000000000001</v>
      </c>
      <c r="AA34" s="907">
        <f t="shared" si="7"/>
        <v>0.41148305084745757</v>
      </c>
      <c r="AB34" s="1694">
        <v>236</v>
      </c>
    </row>
    <row r="35" spans="6:28" ht="20.100000000000001" customHeight="1" thickBot="1" x14ac:dyDescent="0.35">
      <c r="F35" s="273" t="s">
        <v>39</v>
      </c>
      <c r="G35" s="102" t="s">
        <v>12</v>
      </c>
      <c r="H35" s="950">
        <v>47</v>
      </c>
      <c r="I35" s="1162">
        <v>70</v>
      </c>
      <c r="J35" s="755">
        <f t="shared" si="0"/>
        <v>70</v>
      </c>
      <c r="K35" s="755">
        <f>[11]Sheet1!$AE$19</f>
        <v>54.269999999999996</v>
      </c>
      <c r="M35" s="755">
        <f t="shared" si="1"/>
        <v>-15.730000000000004</v>
      </c>
      <c r="N35" s="907">
        <f t="shared" si="2"/>
        <v>0.77528571428571424</v>
      </c>
      <c r="O35" s="1285">
        <v>55</v>
      </c>
      <c r="P35" s="1523"/>
      <c r="Q35" s="1524">
        <f t="shared" si="4"/>
        <v>-55</v>
      </c>
      <c r="R35" s="1523"/>
      <c r="S35" s="1524"/>
      <c r="T35" s="952"/>
      <c r="U35" s="1599"/>
      <c r="V35" s="1523"/>
      <c r="W35" s="1605">
        <f t="shared" si="3"/>
        <v>0</v>
      </c>
      <c r="X35" s="952">
        <f t="shared" si="5"/>
        <v>0</v>
      </c>
    </row>
    <row r="36" spans="6:28" ht="20.100000000000001" customHeight="1" thickBot="1" x14ac:dyDescent="0.35">
      <c r="F36" s="102" t="s">
        <v>540</v>
      </c>
      <c r="G36" s="102" t="s">
        <v>1102</v>
      </c>
      <c r="H36" s="950">
        <v>30000</v>
      </c>
      <c r="I36" s="1162">
        <v>50000</v>
      </c>
      <c r="J36" s="755">
        <f t="shared" si="0"/>
        <v>50000</v>
      </c>
      <c r="M36" s="755">
        <f t="shared" si="1"/>
        <v>-50000</v>
      </c>
      <c r="N36" s="907">
        <f t="shared" si="2"/>
        <v>0</v>
      </c>
      <c r="O36" s="1285">
        <v>30000</v>
      </c>
      <c r="P36" s="1523"/>
      <c r="Q36" s="1524">
        <f t="shared" si="4"/>
        <v>-30000</v>
      </c>
      <c r="R36" s="1523"/>
      <c r="S36" s="1524">
        <v>60000</v>
      </c>
      <c r="T36" s="952"/>
      <c r="U36" s="1598">
        <v>30000</v>
      </c>
      <c r="V36" s="1523">
        <v>30000</v>
      </c>
      <c r="W36" s="1605">
        <f t="shared" si="3"/>
        <v>0</v>
      </c>
      <c r="X36" s="952">
        <v>175000</v>
      </c>
      <c r="Z36" s="755">
        <f t="shared" si="6"/>
        <v>-175000</v>
      </c>
      <c r="AA36" s="907">
        <f t="shared" si="7"/>
        <v>0</v>
      </c>
    </row>
    <row r="37" spans="6:28" ht="20.100000000000001" customHeight="1" thickBot="1" x14ac:dyDescent="0.35">
      <c r="F37" s="102" t="s">
        <v>644</v>
      </c>
      <c r="G37" s="102" t="s">
        <v>645</v>
      </c>
      <c r="H37" s="950">
        <v>27000</v>
      </c>
      <c r="I37" s="1162">
        <v>6000</v>
      </c>
      <c r="J37" s="755">
        <f t="shared" si="0"/>
        <v>6000</v>
      </c>
      <c r="K37" s="755">
        <f>[11]Sheet1!$AG$19</f>
        <v>2498.06</v>
      </c>
      <c r="M37" s="755">
        <f t="shared" si="1"/>
        <v>-3501.94</v>
      </c>
      <c r="N37" s="907">
        <f t="shared" si="2"/>
        <v>0.41634333333333334</v>
      </c>
      <c r="O37" s="1285">
        <v>2500</v>
      </c>
      <c r="P37" s="1523">
        <v>9682.0600000000013</v>
      </c>
      <c r="Q37" s="1524">
        <f t="shared" si="4"/>
        <v>7182.0600000000013</v>
      </c>
      <c r="R37" s="1523">
        <v>9700</v>
      </c>
      <c r="S37" s="1524">
        <v>6000</v>
      </c>
      <c r="T37" s="952"/>
      <c r="U37" s="1599">
        <v>9700</v>
      </c>
      <c r="V37" s="1523">
        <v>8512</v>
      </c>
      <c r="W37" s="1605">
        <f t="shared" si="3"/>
        <v>-1188</v>
      </c>
      <c r="X37" s="952">
        <f t="shared" si="5"/>
        <v>8512</v>
      </c>
      <c r="Y37" s="755">
        <f>[12]Sheet1!$AG$20</f>
        <v>34806.17</v>
      </c>
      <c r="Z37" s="755">
        <f t="shared" si="6"/>
        <v>26294.17</v>
      </c>
      <c r="AA37" s="907">
        <f t="shared" si="7"/>
        <v>4.0890707236842108</v>
      </c>
      <c r="AB37" s="1694">
        <v>34806</v>
      </c>
    </row>
    <row r="38" spans="6:28" ht="20.100000000000001" customHeight="1" thickBot="1" x14ac:dyDescent="0.35">
      <c r="F38" s="102" t="s">
        <v>49</v>
      </c>
      <c r="G38" s="102" t="s">
        <v>14</v>
      </c>
      <c r="H38" s="950">
        <v>0</v>
      </c>
      <c r="J38" s="755">
        <f t="shared" si="0"/>
        <v>0</v>
      </c>
      <c r="M38" s="755"/>
      <c r="O38" s="1285"/>
      <c r="P38" s="1523"/>
      <c r="Q38" s="1524">
        <f t="shared" si="4"/>
        <v>0</v>
      </c>
      <c r="R38" s="1523"/>
      <c r="S38" s="1524"/>
      <c r="T38" s="952"/>
      <c r="U38" s="1599"/>
      <c r="V38" s="1523"/>
      <c r="W38" s="1605">
        <f t="shared" si="3"/>
        <v>0</v>
      </c>
      <c r="X38" s="952">
        <f t="shared" si="5"/>
        <v>0</v>
      </c>
    </row>
    <row r="39" spans="6:28" ht="20.100000000000001" customHeight="1" thickBot="1" x14ac:dyDescent="0.35">
      <c r="F39" s="102" t="s">
        <v>40</v>
      </c>
      <c r="G39" s="102" t="s">
        <v>15</v>
      </c>
      <c r="H39" s="950">
        <v>0</v>
      </c>
      <c r="J39" s="755">
        <f t="shared" si="0"/>
        <v>0</v>
      </c>
      <c r="M39" s="755"/>
      <c r="O39" s="1285"/>
      <c r="P39" s="1523"/>
      <c r="Q39" s="1524">
        <f t="shared" si="4"/>
        <v>0</v>
      </c>
      <c r="R39" s="1523"/>
      <c r="S39" s="1524"/>
      <c r="T39" s="952"/>
      <c r="U39" s="1599"/>
      <c r="V39" s="1523"/>
      <c r="W39" s="1605">
        <f t="shared" si="3"/>
        <v>0</v>
      </c>
      <c r="X39" s="952">
        <f t="shared" si="5"/>
        <v>0</v>
      </c>
    </row>
    <row r="40" spans="6:28" ht="20.100000000000001" customHeight="1" thickBot="1" x14ac:dyDescent="0.35">
      <c r="F40" s="102" t="s">
        <v>41</v>
      </c>
      <c r="G40" s="102" t="s">
        <v>16</v>
      </c>
      <c r="H40" s="950">
        <v>15745</v>
      </c>
      <c r="I40" s="1162">
        <v>50000</v>
      </c>
      <c r="J40" s="755">
        <f t="shared" si="0"/>
        <v>50000</v>
      </c>
      <c r="K40" s="755">
        <f>[11]Sheet1!$AK$19</f>
        <v>12100</v>
      </c>
      <c r="M40" s="755">
        <f t="shared" si="1"/>
        <v>-37900</v>
      </c>
      <c r="N40" s="907">
        <f t="shared" si="2"/>
        <v>0.24199999999999999</v>
      </c>
      <c r="O40" s="1285">
        <v>12000</v>
      </c>
      <c r="P40" s="1523">
        <v>21203.87</v>
      </c>
      <c r="Q40" s="1524">
        <f t="shared" si="4"/>
        <v>9203.869999999999</v>
      </c>
      <c r="R40" s="1523">
        <v>21250</v>
      </c>
      <c r="S40" s="1524">
        <v>21200</v>
      </c>
      <c r="T40" s="952"/>
      <c r="U40" s="1599">
        <v>21250</v>
      </c>
      <c r="V40" s="1523">
        <v>19937</v>
      </c>
      <c r="W40" s="1605">
        <f t="shared" si="3"/>
        <v>-1313</v>
      </c>
      <c r="X40" s="1614">
        <f>V40+48000</f>
        <v>67937</v>
      </c>
      <c r="Y40" s="755">
        <f>[12]Sheet1!$AK$20</f>
        <v>17654.575609756099</v>
      </c>
      <c r="Z40" s="755">
        <f t="shared" ref="Z40:Z43" si="8">Y40-X40</f>
        <v>-50282.424390243905</v>
      </c>
      <c r="AA40" s="907">
        <f t="shared" ref="AA40:AA43" si="9">Y40/X40</f>
        <v>0.25986687092094291</v>
      </c>
      <c r="AB40" s="1694">
        <v>17654</v>
      </c>
    </row>
    <row r="41" spans="6:28" ht="20.100000000000001" customHeight="1" thickBot="1" x14ac:dyDescent="0.35">
      <c r="F41" s="102" t="s">
        <v>541</v>
      </c>
      <c r="G41" s="102" t="s">
        <v>1086</v>
      </c>
      <c r="H41" s="950">
        <v>0</v>
      </c>
      <c r="J41" s="755">
        <f t="shared" si="0"/>
        <v>0</v>
      </c>
      <c r="M41" s="755"/>
      <c r="O41" s="1285"/>
      <c r="P41" s="1523"/>
      <c r="Q41" s="1524">
        <f t="shared" si="4"/>
        <v>0</v>
      </c>
      <c r="R41" s="1523">
        <v>30000</v>
      </c>
      <c r="S41" s="1524"/>
      <c r="T41" s="952"/>
      <c r="U41" s="1599">
        <v>50000</v>
      </c>
      <c r="V41" s="1523"/>
      <c r="W41" s="1605">
        <f t="shared" si="3"/>
        <v>-50000</v>
      </c>
      <c r="X41" s="1614">
        <v>31400</v>
      </c>
      <c r="Z41" s="755">
        <f t="shared" si="8"/>
        <v>-31400</v>
      </c>
      <c r="AA41" s="907">
        <f t="shared" si="9"/>
        <v>0</v>
      </c>
    </row>
    <row r="42" spans="6:28" ht="20.100000000000001" customHeight="1" thickBot="1" x14ac:dyDescent="0.35">
      <c r="F42" s="102" t="s">
        <v>542</v>
      </c>
      <c r="G42" s="102" t="s">
        <v>543</v>
      </c>
      <c r="H42" s="950">
        <v>8900</v>
      </c>
      <c r="I42" s="1162">
        <v>6000</v>
      </c>
      <c r="J42" s="755">
        <f t="shared" si="0"/>
        <v>6000</v>
      </c>
      <c r="K42" s="755">
        <f>[11]Sheet1!$AM$19</f>
        <v>6741.11</v>
      </c>
      <c r="M42" s="755">
        <f t="shared" si="1"/>
        <v>741.10999999999967</v>
      </c>
      <c r="N42" s="907">
        <f t="shared" si="2"/>
        <v>1.1235183333333332</v>
      </c>
      <c r="O42" s="1285">
        <v>7200</v>
      </c>
      <c r="P42" s="1523">
        <v>6205.3499999999995</v>
      </c>
      <c r="Q42" s="1524">
        <f t="shared" si="4"/>
        <v>-994.65000000000055</v>
      </c>
      <c r="R42" s="1523">
        <v>6500</v>
      </c>
      <c r="S42" s="1524">
        <v>6938</v>
      </c>
      <c r="T42" s="952"/>
      <c r="U42" s="1599">
        <v>6500</v>
      </c>
      <c r="V42" s="1523">
        <v>5670</v>
      </c>
      <c r="W42" s="1605">
        <f t="shared" si="3"/>
        <v>-830</v>
      </c>
      <c r="X42" s="952">
        <f t="shared" si="5"/>
        <v>5670</v>
      </c>
      <c r="Y42" s="755">
        <f>[12]Sheet1!$AM$20</f>
        <v>24922.170000000002</v>
      </c>
      <c r="Z42" s="755">
        <f t="shared" si="8"/>
        <v>19252.170000000002</v>
      </c>
      <c r="AA42" s="907">
        <f t="shared" si="9"/>
        <v>4.3954444444444452</v>
      </c>
      <c r="AB42" s="1694">
        <f>24922/2</f>
        <v>12461</v>
      </c>
    </row>
    <row r="43" spans="6:28" ht="20.100000000000001" customHeight="1" thickBot="1" x14ac:dyDescent="0.35">
      <c r="F43" s="102" t="s">
        <v>544</v>
      </c>
      <c r="G43" s="102" t="s">
        <v>545</v>
      </c>
      <c r="H43" s="950">
        <v>37000</v>
      </c>
      <c r="I43" s="1162">
        <v>35000</v>
      </c>
      <c r="J43" s="755">
        <f t="shared" si="0"/>
        <v>35000</v>
      </c>
      <c r="K43" s="755">
        <f>[11]Sheet1!$AN$19</f>
        <v>47326.329999999994</v>
      </c>
      <c r="M43" s="755">
        <f t="shared" si="1"/>
        <v>12326.329999999994</v>
      </c>
      <c r="N43" s="907">
        <f t="shared" si="2"/>
        <v>1.3521808571428571</v>
      </c>
      <c r="O43" s="1285">
        <v>45000</v>
      </c>
      <c r="P43" s="1523">
        <v>36760.9</v>
      </c>
      <c r="Q43" s="1524">
        <f t="shared" si="4"/>
        <v>-8239.0999999999985</v>
      </c>
      <c r="R43" s="1523">
        <v>45000</v>
      </c>
      <c r="S43" s="1524">
        <v>41580</v>
      </c>
      <c r="T43" s="952"/>
      <c r="U43" s="1599">
        <v>45000</v>
      </c>
      <c r="V43" s="1523">
        <v>44679</v>
      </c>
      <c r="W43" s="1605">
        <f t="shared" si="3"/>
        <v>-321</v>
      </c>
      <c r="X43" s="952">
        <f t="shared" si="5"/>
        <v>44679</v>
      </c>
      <c r="Y43" s="755">
        <f>[12]Sheet1!$AN$20</f>
        <v>40563.880000000005</v>
      </c>
      <c r="Z43" s="755">
        <f t="shared" si="8"/>
        <v>-4115.1199999999953</v>
      </c>
      <c r="AA43" s="907">
        <f t="shared" si="9"/>
        <v>0.90789587949596018</v>
      </c>
      <c r="AB43" s="1694">
        <v>40564</v>
      </c>
    </row>
    <row r="44" spans="6:28" ht="20.100000000000001" customHeight="1" thickBot="1" x14ac:dyDescent="0.35">
      <c r="F44" s="102" t="s">
        <v>546</v>
      </c>
      <c r="G44" s="102" t="s">
        <v>547</v>
      </c>
      <c r="H44" s="950">
        <v>1400</v>
      </c>
      <c r="J44" s="755">
        <f t="shared" si="0"/>
        <v>0</v>
      </c>
      <c r="M44" s="755"/>
      <c r="O44" s="1285"/>
      <c r="P44" s="1523"/>
      <c r="Q44" s="1524">
        <f t="shared" si="4"/>
        <v>0</v>
      </c>
      <c r="R44" s="1523"/>
      <c r="S44" s="1524"/>
      <c r="T44" s="952"/>
      <c r="U44" s="1599"/>
      <c r="V44" s="1523"/>
      <c r="W44" s="1605">
        <f t="shared" si="3"/>
        <v>0</v>
      </c>
      <c r="X44" s="952">
        <f t="shared" si="5"/>
        <v>0</v>
      </c>
    </row>
    <row r="45" spans="6:28" ht="20.100000000000001" customHeight="1" thickBot="1" x14ac:dyDescent="0.35">
      <c r="F45" s="102" t="s">
        <v>548</v>
      </c>
      <c r="G45" s="102" t="s">
        <v>549</v>
      </c>
      <c r="H45" s="950">
        <v>208</v>
      </c>
      <c r="J45" s="755">
        <f t="shared" si="0"/>
        <v>0</v>
      </c>
      <c r="M45" s="755"/>
      <c r="O45" s="1285"/>
      <c r="P45" s="1523"/>
      <c r="Q45" s="1524">
        <f t="shared" si="4"/>
        <v>0</v>
      </c>
      <c r="R45" s="1523"/>
      <c r="S45" s="1524"/>
      <c r="T45" s="952"/>
      <c r="U45" s="1599"/>
      <c r="V45" s="1523"/>
      <c r="W45" s="1605">
        <f t="shared" si="3"/>
        <v>0</v>
      </c>
      <c r="X45" s="952">
        <f t="shared" si="5"/>
        <v>0</v>
      </c>
    </row>
    <row r="46" spans="6:28" ht="20.100000000000001" customHeight="1" thickBot="1" x14ac:dyDescent="0.35">
      <c r="F46" s="102" t="s">
        <v>42</v>
      </c>
      <c r="G46" s="102" t="s">
        <v>17</v>
      </c>
      <c r="H46" s="950">
        <v>27000</v>
      </c>
      <c r="I46" s="1162">
        <v>25000</v>
      </c>
      <c r="J46" s="755">
        <f t="shared" si="0"/>
        <v>25000</v>
      </c>
      <c r="K46" s="755">
        <f>[11]Sheet1!$AQ$19</f>
        <v>29645.690000000002</v>
      </c>
      <c r="M46" s="755">
        <f t="shared" si="1"/>
        <v>4645.6900000000023</v>
      </c>
      <c r="N46" s="907">
        <f t="shared" si="2"/>
        <v>1.1858276000000001</v>
      </c>
      <c r="O46" s="1285">
        <v>28000</v>
      </c>
      <c r="P46" s="1523">
        <v>21632.45</v>
      </c>
      <c r="Q46" s="1524">
        <f t="shared" si="4"/>
        <v>-6367.5499999999993</v>
      </c>
      <c r="R46" s="1523">
        <v>25000</v>
      </c>
      <c r="S46" s="1524">
        <v>25000</v>
      </c>
      <c r="T46" s="952"/>
      <c r="U46" s="1599">
        <v>25000</v>
      </c>
      <c r="V46" s="1523">
        <v>24663</v>
      </c>
      <c r="W46" s="1605">
        <f t="shared" si="3"/>
        <v>-337</v>
      </c>
      <c r="X46" s="952">
        <f t="shared" si="5"/>
        <v>24663</v>
      </c>
      <c r="Y46" s="755">
        <f>[12]Sheet1!$AQ$20</f>
        <v>25240.16</v>
      </c>
      <c r="Z46" s="755">
        <f t="shared" ref="Z46:Z47" si="10">Y46-X46</f>
        <v>577.15999999999985</v>
      </c>
      <c r="AA46" s="907">
        <f t="shared" ref="AA46:AA47" si="11">Y46/X46</f>
        <v>1.0234018570328021</v>
      </c>
      <c r="AB46" s="1694">
        <v>25240</v>
      </c>
    </row>
    <row r="47" spans="6:28" ht="20.100000000000001" customHeight="1" thickBot="1" x14ac:dyDescent="0.35">
      <c r="F47" s="102" t="s">
        <v>43</v>
      </c>
      <c r="G47" s="273" t="s">
        <v>18</v>
      </c>
      <c r="H47" s="950">
        <v>190000</v>
      </c>
      <c r="I47" s="1162">
        <v>200000</v>
      </c>
      <c r="J47" s="755">
        <f t="shared" si="0"/>
        <v>200000</v>
      </c>
      <c r="K47" s="755">
        <f>[11]Sheet1!$AS$19</f>
        <v>238336.01000000004</v>
      </c>
      <c r="M47" s="755">
        <f t="shared" si="1"/>
        <v>38336.010000000038</v>
      </c>
      <c r="N47" s="907">
        <f t="shared" si="2"/>
        <v>1.1916800500000002</v>
      </c>
      <c r="O47" s="1285">
        <v>240000</v>
      </c>
      <c r="P47" s="1523">
        <v>166813.97000000003</v>
      </c>
      <c r="Q47" s="1524">
        <f t="shared" si="4"/>
        <v>-73186.02999999997</v>
      </c>
      <c r="R47" s="1523">
        <v>211000</v>
      </c>
      <c r="S47" s="1524">
        <v>175000</v>
      </c>
      <c r="T47" s="952"/>
      <c r="U47" s="1599">
        <v>211000</v>
      </c>
      <c r="V47" s="1523">
        <v>215110</v>
      </c>
      <c r="W47" s="1605">
        <f t="shared" si="3"/>
        <v>4110</v>
      </c>
      <c r="X47" s="952">
        <f>V47+2152</f>
        <v>217262</v>
      </c>
      <c r="Y47" s="755">
        <f>[12]Sheet1!$AS$20</f>
        <v>214641.91999999998</v>
      </c>
      <c r="Z47" s="755">
        <f t="shared" si="10"/>
        <v>-2620.0800000000163</v>
      </c>
      <c r="AA47" s="907">
        <f t="shared" si="11"/>
        <v>0.98794045898500416</v>
      </c>
      <c r="AB47" s="1694">
        <v>214641</v>
      </c>
    </row>
    <row r="48" spans="6:28" ht="20.100000000000001" customHeight="1" thickBot="1" x14ac:dyDescent="0.35">
      <c r="F48" s="102" t="s">
        <v>550</v>
      </c>
      <c r="G48" s="102" t="s">
        <v>551</v>
      </c>
      <c r="H48" s="950"/>
      <c r="J48" s="755">
        <f t="shared" si="0"/>
        <v>0</v>
      </c>
      <c r="M48" s="755"/>
      <c r="O48" s="1285"/>
      <c r="P48" s="1523"/>
      <c r="Q48" s="1524">
        <f t="shared" si="4"/>
        <v>0</v>
      </c>
      <c r="R48" s="1523"/>
      <c r="S48" s="1524"/>
      <c r="T48" s="952"/>
      <c r="U48" s="1599"/>
      <c r="V48" s="1523"/>
      <c r="W48" s="1605">
        <f t="shared" si="3"/>
        <v>0</v>
      </c>
      <c r="X48" s="952">
        <f t="shared" si="5"/>
        <v>0</v>
      </c>
    </row>
    <row r="49" spans="6:28" ht="20.100000000000001" customHeight="1" thickBot="1" x14ac:dyDescent="0.35">
      <c r="F49" s="102" t="s">
        <v>211</v>
      </c>
      <c r="G49" s="102" t="s">
        <v>552</v>
      </c>
      <c r="H49" s="950"/>
      <c r="J49" s="755">
        <f t="shared" si="0"/>
        <v>0</v>
      </c>
      <c r="M49" s="755"/>
      <c r="O49" s="1285"/>
      <c r="P49" s="1523"/>
      <c r="Q49" s="1524">
        <f t="shared" si="4"/>
        <v>0</v>
      </c>
      <c r="R49" s="1523"/>
      <c r="S49" s="1524"/>
      <c r="T49" s="952"/>
      <c r="U49" s="1599"/>
      <c r="V49" s="1523"/>
      <c r="W49" s="1605">
        <f t="shared" si="3"/>
        <v>0</v>
      </c>
      <c r="X49" s="952">
        <f t="shared" si="5"/>
        <v>0</v>
      </c>
    </row>
    <row r="50" spans="6:28" ht="20.100000000000001" customHeight="1" thickBot="1" x14ac:dyDescent="0.35">
      <c r="F50" s="102" t="s">
        <v>553</v>
      </c>
      <c r="G50" s="102" t="s">
        <v>554</v>
      </c>
      <c r="H50" s="950"/>
      <c r="J50" s="755">
        <f t="shared" si="0"/>
        <v>0</v>
      </c>
      <c r="M50" s="755"/>
      <c r="O50" s="1285"/>
      <c r="P50" s="1523"/>
      <c r="Q50" s="1524">
        <f t="shared" si="4"/>
        <v>0</v>
      </c>
      <c r="R50" s="1523"/>
      <c r="S50" s="1524"/>
      <c r="T50" s="952"/>
      <c r="U50" s="1599"/>
      <c r="V50" s="1523"/>
      <c r="W50" s="1605">
        <f t="shared" si="3"/>
        <v>0</v>
      </c>
      <c r="X50" s="952">
        <f t="shared" si="5"/>
        <v>0</v>
      </c>
    </row>
    <row r="51" spans="6:28" ht="20.100000000000001" customHeight="1" thickBot="1" x14ac:dyDescent="0.35">
      <c r="F51" s="102" t="s">
        <v>587</v>
      </c>
      <c r="G51" s="102" t="s">
        <v>588</v>
      </c>
      <c r="H51" s="950">
        <v>30000</v>
      </c>
      <c r="I51" s="1162">
        <v>34000</v>
      </c>
      <c r="J51" s="755">
        <f t="shared" si="0"/>
        <v>34000</v>
      </c>
      <c r="K51" s="755">
        <f>[11]Sheet1!$AU$19</f>
        <v>37974.480000000003</v>
      </c>
      <c r="M51" s="755">
        <f t="shared" si="1"/>
        <v>3974.4800000000032</v>
      </c>
      <c r="N51" s="907">
        <f t="shared" si="2"/>
        <v>1.1168964705882354</v>
      </c>
      <c r="O51" s="1285">
        <v>125000</v>
      </c>
      <c r="P51" s="1523">
        <v>46498.400000000001</v>
      </c>
      <c r="Q51" s="1524">
        <f t="shared" si="4"/>
        <v>-78501.600000000006</v>
      </c>
      <c r="R51" s="1523">
        <v>80000</v>
      </c>
      <c r="S51" s="1524">
        <v>50000</v>
      </c>
      <c r="T51" s="952"/>
      <c r="U51" s="1598">
        <v>108000</v>
      </c>
      <c r="V51" s="1523">
        <v>46300</v>
      </c>
      <c r="W51" s="1605">
        <f t="shared" si="3"/>
        <v>-61700</v>
      </c>
      <c r="X51" s="1614">
        <f>80000-17349+5000</f>
        <v>67651</v>
      </c>
      <c r="Y51" s="755">
        <f>[12]Sheet1!$AU$20</f>
        <v>109884.23</v>
      </c>
      <c r="Z51" s="755">
        <f t="shared" ref="Z51:Z57" si="12">Y51-X51</f>
        <v>42233.229999999996</v>
      </c>
      <c r="AA51" s="907">
        <f t="shared" ref="AA51:AA59" si="13">Y51/X51</f>
        <v>1.6242809418929505</v>
      </c>
      <c r="AB51" s="1694">
        <f>109884+51614.5-705-100-500+16386-19725+6732+20000</f>
        <v>183586.5</v>
      </c>
    </row>
    <row r="52" spans="6:28" ht="20.100000000000001" customHeight="1" thickBot="1" x14ac:dyDescent="0.35">
      <c r="F52" s="102" t="s">
        <v>44</v>
      </c>
      <c r="G52" s="102" t="s">
        <v>662</v>
      </c>
      <c r="H52" s="950">
        <v>1500</v>
      </c>
      <c r="I52" s="1162">
        <v>1200</v>
      </c>
      <c r="J52" s="755">
        <f t="shared" si="0"/>
        <v>1200</v>
      </c>
      <c r="K52" s="755">
        <f>[11]Sheet1!$AV$19</f>
        <v>1830</v>
      </c>
      <c r="M52" s="755">
        <f t="shared" si="1"/>
        <v>630</v>
      </c>
      <c r="N52" s="907">
        <f t="shared" si="2"/>
        <v>1.5249999999999999</v>
      </c>
      <c r="O52" s="1285">
        <v>1300</v>
      </c>
      <c r="P52" s="1523">
        <v>2355</v>
      </c>
      <c r="Q52" s="1524">
        <f t="shared" si="4"/>
        <v>1055</v>
      </c>
      <c r="R52" s="1523">
        <v>20000</v>
      </c>
      <c r="S52" s="1524">
        <v>2200</v>
      </c>
      <c r="T52" s="952"/>
      <c r="U52" s="1598">
        <f>20000+42125</f>
        <v>62125</v>
      </c>
      <c r="V52" s="1523">
        <v>9840</v>
      </c>
      <c r="W52" s="1605">
        <f t="shared" si="3"/>
        <v>-52285</v>
      </c>
      <c r="X52" s="952">
        <f t="shared" si="5"/>
        <v>9840</v>
      </c>
      <c r="Y52" s="755">
        <f>[12]Sheet1!$AV$20</f>
        <v>6247.48</v>
      </c>
      <c r="Z52" s="755">
        <f t="shared" si="12"/>
        <v>-3592.5200000000004</v>
      </c>
      <c r="AA52" s="907">
        <f t="shared" si="13"/>
        <v>0.63490650406504057</v>
      </c>
      <c r="AB52" s="1694">
        <v>6247</v>
      </c>
    </row>
    <row r="53" spans="6:28" ht="20.100000000000001" customHeight="1" thickBot="1" x14ac:dyDescent="0.35">
      <c r="F53" s="102" t="s">
        <v>45</v>
      </c>
      <c r="G53" s="102" t="s">
        <v>20</v>
      </c>
      <c r="H53" s="950">
        <v>115</v>
      </c>
      <c r="I53" s="1163">
        <v>50</v>
      </c>
      <c r="J53" s="755">
        <f t="shared" si="0"/>
        <v>50</v>
      </c>
      <c r="K53" s="755">
        <f>[11]Sheet1!$AX$19</f>
        <v>201.88000000000002</v>
      </c>
      <c r="M53" s="755">
        <f t="shared" si="1"/>
        <v>151.88000000000002</v>
      </c>
      <c r="N53" s="907">
        <f t="shared" si="2"/>
        <v>4.0376000000000003</v>
      </c>
      <c r="O53" s="1285">
        <v>200</v>
      </c>
      <c r="P53" s="1523">
        <v>133</v>
      </c>
      <c r="Q53" s="1524">
        <f t="shared" si="4"/>
        <v>-67</v>
      </c>
      <c r="R53" s="1523">
        <v>133</v>
      </c>
      <c r="S53" s="1524">
        <v>150</v>
      </c>
      <c r="T53" s="952"/>
      <c r="U53" s="1599">
        <v>133</v>
      </c>
      <c r="V53" s="1523">
        <v>126</v>
      </c>
      <c r="W53" s="1605">
        <f t="shared" si="3"/>
        <v>-7</v>
      </c>
      <c r="X53" s="952">
        <f t="shared" si="5"/>
        <v>126</v>
      </c>
      <c r="Y53" s="755">
        <f>[12]Sheet1!$AX$20</f>
        <v>227.76999999999998</v>
      </c>
      <c r="Z53" s="755">
        <f t="shared" si="12"/>
        <v>101.76999999999998</v>
      </c>
      <c r="AA53" s="907">
        <f t="shared" si="13"/>
        <v>1.8076984126984126</v>
      </c>
      <c r="AB53" s="1694">
        <v>227</v>
      </c>
    </row>
    <row r="54" spans="6:28" ht="20.100000000000001" customHeight="1" thickBot="1" x14ac:dyDescent="0.35">
      <c r="F54" s="102" t="s">
        <v>555</v>
      </c>
      <c r="G54" s="102" t="s">
        <v>556</v>
      </c>
      <c r="H54" s="950">
        <v>6000</v>
      </c>
      <c r="I54" s="1164">
        <v>8700</v>
      </c>
      <c r="J54" s="755">
        <f t="shared" si="0"/>
        <v>8700</v>
      </c>
      <c r="K54" s="755">
        <f>[11]Sheet1!$AY$19</f>
        <v>9255.31</v>
      </c>
      <c r="M54" s="755">
        <f t="shared" si="1"/>
        <v>555.30999999999949</v>
      </c>
      <c r="N54" s="907">
        <f t="shared" si="2"/>
        <v>1.0638287356321838</v>
      </c>
      <c r="O54" s="1285">
        <v>9250</v>
      </c>
      <c r="P54" s="1523">
        <v>8636.07</v>
      </c>
      <c r="Q54" s="1524">
        <f t="shared" si="4"/>
        <v>-613.93000000000029</v>
      </c>
      <c r="R54" s="1523">
        <v>8700</v>
      </c>
      <c r="S54" s="1524">
        <v>8600</v>
      </c>
      <c r="T54" s="952"/>
      <c r="U54" s="1599">
        <v>8700</v>
      </c>
      <c r="V54" s="1523">
        <v>6712</v>
      </c>
      <c r="W54" s="1605">
        <f t="shared" si="3"/>
        <v>-1988</v>
      </c>
      <c r="X54" s="952">
        <f t="shared" si="5"/>
        <v>6712</v>
      </c>
      <c r="Y54" s="755">
        <f>[12]Sheet1!$AY$20</f>
        <v>183</v>
      </c>
      <c r="Z54" s="755">
        <f t="shared" si="12"/>
        <v>-6529</v>
      </c>
      <c r="AA54" s="907">
        <f t="shared" si="13"/>
        <v>2.7264600715137068E-2</v>
      </c>
      <c r="AB54" s="1694">
        <v>183</v>
      </c>
    </row>
    <row r="55" spans="6:28" ht="20.100000000000001" customHeight="1" thickBot="1" x14ac:dyDescent="0.35">
      <c r="F55" s="1286" t="s">
        <v>800</v>
      </c>
      <c r="G55" s="1287" t="s">
        <v>801</v>
      </c>
      <c r="H55" s="951">
        <v>300</v>
      </c>
      <c r="I55" s="1164">
        <v>600</v>
      </c>
      <c r="J55" s="755">
        <f t="shared" si="0"/>
        <v>600</v>
      </c>
      <c r="K55" s="755">
        <f>[11]Sheet1!$BA$19</f>
        <v>150</v>
      </c>
      <c r="M55" s="755">
        <f t="shared" si="1"/>
        <v>-450</v>
      </c>
      <c r="N55" s="907">
        <f t="shared" si="2"/>
        <v>0.25</v>
      </c>
      <c r="O55" s="1285">
        <v>200</v>
      </c>
      <c r="P55" s="1523">
        <v>185</v>
      </c>
      <c r="Q55" s="1524">
        <f t="shared" si="4"/>
        <v>-15</v>
      </c>
      <c r="R55" s="1523">
        <v>185</v>
      </c>
      <c r="S55" s="1524">
        <v>200</v>
      </c>
      <c r="T55" s="952"/>
      <c r="U55" s="1599">
        <v>185</v>
      </c>
      <c r="V55" s="1523">
        <v>250</v>
      </c>
      <c r="W55" s="1605">
        <f t="shared" si="3"/>
        <v>65</v>
      </c>
      <c r="X55" s="952">
        <f t="shared" si="5"/>
        <v>250</v>
      </c>
      <c r="Y55" s="755">
        <f>[12]Sheet1!$BA$20</f>
        <v>1050</v>
      </c>
      <c r="Z55" s="755">
        <f t="shared" si="12"/>
        <v>800</v>
      </c>
      <c r="AA55" s="907">
        <f t="shared" si="13"/>
        <v>4.2</v>
      </c>
      <c r="AB55" s="1694">
        <f>1050/2</f>
        <v>525</v>
      </c>
    </row>
    <row r="56" spans="6:28" ht="20.100000000000001" customHeight="1" thickBot="1" x14ac:dyDescent="0.35">
      <c r="F56" s="1181" t="s">
        <v>46</v>
      </c>
      <c r="G56" s="148" t="s">
        <v>47</v>
      </c>
      <c r="H56" s="949">
        <v>13000</v>
      </c>
      <c r="I56" s="1164"/>
      <c r="J56" s="755">
        <f t="shared" si="0"/>
        <v>0</v>
      </c>
      <c r="M56" s="755"/>
      <c r="O56" s="1285">
        <v>16579</v>
      </c>
      <c r="P56" s="1523"/>
      <c r="Q56" s="1524">
        <f t="shared" si="4"/>
        <v>-16579</v>
      </c>
      <c r="R56" s="1523"/>
      <c r="S56" s="1524"/>
      <c r="T56" s="952"/>
      <c r="U56" s="1599"/>
      <c r="V56" s="1523"/>
      <c r="W56" s="1605">
        <f t="shared" si="3"/>
        <v>0</v>
      </c>
      <c r="X56" s="952">
        <f t="shared" si="5"/>
        <v>0</v>
      </c>
    </row>
    <row r="57" spans="6:28" ht="30" customHeight="1" thickBot="1" x14ac:dyDescent="0.35">
      <c r="F57" s="647" t="s">
        <v>589</v>
      </c>
      <c r="G57" s="102" t="s">
        <v>19</v>
      </c>
      <c r="H57" s="950">
        <v>30000</v>
      </c>
      <c r="I57" s="1164">
        <v>26000</v>
      </c>
      <c r="J57" s="755">
        <f t="shared" si="0"/>
        <v>26000</v>
      </c>
      <c r="K57" s="755">
        <f>[11]Sheet1!$BD$19</f>
        <v>144553.65</v>
      </c>
      <c r="M57" s="755">
        <f t="shared" si="1"/>
        <v>118553.65</v>
      </c>
      <c r="N57" s="907">
        <f t="shared" si="2"/>
        <v>5.5597557692307689</v>
      </c>
      <c r="O57" s="1285">
        <v>105000</v>
      </c>
      <c r="P57" s="1523">
        <v>19671.93</v>
      </c>
      <c r="Q57" s="1524">
        <f t="shared" si="4"/>
        <v>-85328.07</v>
      </c>
      <c r="R57" s="1523">
        <f>19883.44-0.44</f>
        <v>19883</v>
      </c>
      <c r="S57" s="1524">
        <v>19500</v>
      </c>
      <c r="T57" s="952"/>
      <c r="U57" s="1599">
        <f>19883.44-0.44</f>
        <v>19883</v>
      </c>
      <c r="V57" s="1523">
        <f>9700+12200</f>
        <v>21900</v>
      </c>
      <c r="W57" s="1605">
        <f t="shared" si="3"/>
        <v>2017</v>
      </c>
      <c r="X57" s="952">
        <f t="shared" si="5"/>
        <v>21900</v>
      </c>
      <c r="Y57" s="755">
        <f>[12]Sheet1!$AW$20+[12]Sheet1!$BD$20</f>
        <v>24121.070000000003</v>
      </c>
      <c r="Z57" s="755">
        <f t="shared" si="12"/>
        <v>2221.0700000000033</v>
      </c>
      <c r="AA57" s="907">
        <f t="shared" si="13"/>
        <v>1.1014187214611875</v>
      </c>
      <c r="AB57" s="1694">
        <v>24121</v>
      </c>
    </row>
    <row r="58" spans="6:28" ht="30" customHeight="1" thickBot="1" x14ac:dyDescent="0.35">
      <c r="F58" s="912" t="s">
        <v>663</v>
      </c>
      <c r="G58" s="404" t="s">
        <v>664</v>
      </c>
      <c r="H58" s="951">
        <v>12000</v>
      </c>
      <c r="I58" s="1176">
        <v>12000</v>
      </c>
      <c r="J58" s="755">
        <f t="shared" si="0"/>
        <v>12000</v>
      </c>
      <c r="K58" s="755">
        <f>[11]Sheet1!$BE$19</f>
        <v>10057.849999999999</v>
      </c>
      <c r="M58" s="755">
        <f t="shared" si="1"/>
        <v>-1942.1500000000015</v>
      </c>
      <c r="N58" s="907">
        <f t="shared" si="2"/>
        <v>0.83815416666666653</v>
      </c>
      <c r="O58" s="1228">
        <v>12000</v>
      </c>
      <c r="P58" s="1525"/>
      <c r="Q58" s="1526">
        <f t="shared" si="4"/>
        <v>-12000</v>
      </c>
      <c r="R58" s="1526"/>
      <c r="S58" s="1526">
        <v>0</v>
      </c>
      <c r="T58" s="953"/>
      <c r="U58" s="1602"/>
      <c r="V58" s="1523"/>
      <c r="W58" s="1605">
        <f t="shared" si="3"/>
        <v>0</v>
      </c>
      <c r="X58" s="952">
        <f t="shared" si="5"/>
        <v>0</v>
      </c>
    </row>
    <row r="59" spans="6:28" ht="20.100000000000001" customHeight="1" thickBot="1" x14ac:dyDescent="0.4">
      <c r="F59" s="910"/>
      <c r="G59" s="911" t="s">
        <v>52</v>
      </c>
      <c r="H59" s="770" t="e">
        <f>SUM(H7:H58)</f>
        <v>#REF!</v>
      </c>
      <c r="I59" s="769">
        <f>SUM(I6:I58)</f>
        <v>2698912</v>
      </c>
      <c r="J59" s="769">
        <f>SUM(J6:J58)</f>
        <v>2708020</v>
      </c>
      <c r="K59" s="769">
        <f>SUM(K6:K58)</f>
        <v>2704184.02</v>
      </c>
      <c r="L59" s="769"/>
      <c r="M59" s="1177">
        <f t="shared" si="1"/>
        <v>-3835.9799999999814</v>
      </c>
      <c r="N59" s="1190">
        <f t="shared" si="2"/>
        <v>0.99858347427271588</v>
      </c>
      <c r="O59" s="769">
        <f>SUM(O6:O58)</f>
        <v>2942105</v>
      </c>
      <c r="P59" s="1499">
        <f>SUM(P6:P58)</f>
        <v>2445514.35</v>
      </c>
      <c r="Q59" s="1475">
        <f t="shared" si="4"/>
        <v>-496590.64999999991</v>
      </c>
      <c r="R59" s="1475">
        <f>SUM(R6:R58)</f>
        <v>2674273</v>
      </c>
      <c r="S59" s="1499">
        <f>SUM(S6:S58)</f>
        <v>2675329</v>
      </c>
      <c r="T59" s="1499">
        <f>SUM(T6:T58)</f>
        <v>0</v>
      </c>
      <c r="U59" s="1603">
        <f>SUM(U6:U58)</f>
        <v>2836180</v>
      </c>
      <c r="V59" s="1603">
        <f>SUM(V6:V58)</f>
        <v>2818838</v>
      </c>
      <c r="W59" s="1605">
        <f t="shared" si="3"/>
        <v>-17342</v>
      </c>
      <c r="X59" s="1603">
        <f>SUM(X6:X58)</f>
        <v>3079691</v>
      </c>
      <c r="Y59" s="1603">
        <f>SUM(Y6:Y58)</f>
        <v>2999793.0760867549</v>
      </c>
      <c r="Z59" s="1603">
        <f>SUM(Z6:Z58)</f>
        <v>-41723.923913244173</v>
      </c>
      <c r="AA59" s="907">
        <f t="shared" si="13"/>
        <v>0.97405651284065675</v>
      </c>
      <c r="AB59" s="1603">
        <f>SUM(AB6:AB58)</f>
        <v>2922275.5</v>
      </c>
    </row>
    <row r="60" spans="6:28" ht="20.100000000000001" customHeight="1" thickBot="1" x14ac:dyDescent="0.35">
      <c r="F60" s="83"/>
      <c r="G60" s="765"/>
      <c r="M60" s="755"/>
      <c r="U60" s="755"/>
    </row>
    <row r="61" spans="6:28" ht="20.100000000000001" customHeight="1" thickBot="1" x14ac:dyDescent="0.35">
      <c r="F61" s="1184" t="s">
        <v>21</v>
      </c>
      <c r="G61" s="1185"/>
      <c r="H61" s="1186"/>
      <c r="I61" s="1187"/>
      <c r="J61" s="1188"/>
      <c r="K61" s="1186"/>
      <c r="L61" s="1186"/>
      <c r="M61" s="1186"/>
      <c r="N61" s="1189"/>
      <c r="O61" s="1282"/>
      <c r="U61" s="755"/>
    </row>
    <row r="62" spans="6:28" ht="20.100000000000001" hidden="1" customHeight="1" x14ac:dyDescent="0.3">
      <c r="F62" s="1180">
        <v>49000</v>
      </c>
      <c r="G62" s="1181" t="s">
        <v>802</v>
      </c>
      <c r="H62" s="1182"/>
      <c r="I62" s="1183"/>
      <c r="M62" s="755">
        <f t="shared" si="1"/>
        <v>0</v>
      </c>
      <c r="N62" s="907" t="e">
        <f t="shared" si="2"/>
        <v>#DIV/0!</v>
      </c>
      <c r="U62" s="755"/>
    </row>
    <row r="63" spans="6:28" ht="20.100000000000001" customHeight="1" x14ac:dyDescent="0.3">
      <c r="F63" s="941">
        <v>61122</v>
      </c>
      <c r="G63" s="647" t="s">
        <v>505</v>
      </c>
      <c r="H63" s="952">
        <f>'112 Rev &amp; Exp Other Source-Uses'!F16</f>
        <v>301341</v>
      </c>
      <c r="I63" s="1164">
        <f>'[1]GENERAL FUND REVENUE'!$O$66</f>
        <v>369323</v>
      </c>
      <c r="J63" s="755">
        <f>I63</f>
        <v>369323</v>
      </c>
      <c r="K63" s="755">
        <f>'112 Rev &amp; Exp Other Source-Uses'!D16</f>
        <v>277306.08</v>
      </c>
      <c r="M63" s="755">
        <f t="shared" si="1"/>
        <v>-92016.919999999984</v>
      </c>
      <c r="N63" s="907">
        <f t="shared" si="2"/>
        <v>0.75084974399103233</v>
      </c>
      <c r="O63" s="1284">
        <f>'112 Rev &amp; Exp Other Source-Uses'!F16</f>
        <v>301341</v>
      </c>
      <c r="P63" s="755">
        <f>270765.44+12500</f>
        <v>283265.44</v>
      </c>
      <c r="Q63" s="755">
        <f>P63-O63</f>
        <v>-18075.559999999998</v>
      </c>
      <c r="R63" s="755">
        <v>320000</v>
      </c>
      <c r="S63" s="755">
        <v>320000</v>
      </c>
      <c r="U63" s="755">
        <f>R63</f>
        <v>320000</v>
      </c>
      <c r="V63" s="755">
        <v>320000</v>
      </c>
      <c r="W63" s="949">
        <f>V63-U63</f>
        <v>0</v>
      </c>
      <c r="X63" s="949">
        <f>'112 Rev &amp; Exp Other Source-Uses'!H18</f>
        <v>289136</v>
      </c>
      <c r="Y63" s="755">
        <f>[13]DETAIL!$D$172-[13]DETAIL!$C$161-[13]DETAIL!$C$170</f>
        <v>275071.75</v>
      </c>
      <c r="Z63" s="755">
        <f>Y63-X63</f>
        <v>-14064.25</v>
      </c>
      <c r="AA63" s="907">
        <f t="shared" ref="AA63:AA69" si="14">Y63/X63</f>
        <v>0.95135766559681256</v>
      </c>
      <c r="AB63" s="1694">
        <f>'112 Rev &amp; Exp Other Source-Uses'!L18</f>
        <v>311401</v>
      </c>
    </row>
    <row r="64" spans="6:28" ht="20.100000000000001" customHeight="1" x14ac:dyDescent="0.3">
      <c r="F64" s="941">
        <v>61150</v>
      </c>
      <c r="G64" s="647" t="s">
        <v>506</v>
      </c>
      <c r="H64" s="952">
        <f>'116-Revenue &amp; Exp'!H12</f>
        <v>73098</v>
      </c>
      <c r="I64" s="1164">
        <f>'[1]GENERAL FUND REVENUE'!$O$67</f>
        <v>336015</v>
      </c>
      <c r="J64" s="755">
        <f t="shared" ref="J64:J65" si="15">I64</f>
        <v>336015</v>
      </c>
      <c r="K64" s="755">
        <f>23000+57244.84</f>
        <v>80244.84</v>
      </c>
      <c r="M64" s="755">
        <f t="shared" si="1"/>
        <v>-255770.16</v>
      </c>
      <c r="N64" s="907">
        <f t="shared" si="2"/>
        <v>0.23881326726485425</v>
      </c>
      <c r="O64" s="1285">
        <v>73098</v>
      </c>
      <c r="P64" s="755">
        <v>194091.77</v>
      </c>
      <c r="Q64" s="755">
        <f t="shared" ref="Q64:Q65" si="16">P64-O64</f>
        <v>120993.76999999999</v>
      </c>
      <c r="R64" s="755">
        <v>112000</v>
      </c>
      <c r="S64" s="755">
        <v>112000</v>
      </c>
      <c r="U64" s="755">
        <f>R64</f>
        <v>112000</v>
      </c>
      <c r="V64" s="755">
        <v>180000</v>
      </c>
      <c r="W64" s="950">
        <f t="shared" ref="W64:W65" si="17">V64-U64</f>
        <v>68000</v>
      </c>
      <c r="X64" s="950">
        <f>'116-Revenue &amp; Exp'!J12-40000</f>
        <v>55825</v>
      </c>
      <c r="Y64" s="755">
        <f>[13]DETAIL!$D$135</f>
        <v>144533.82</v>
      </c>
      <c r="Z64" s="755">
        <f t="shared" ref="Z64:Z67" si="18">Y64-X64</f>
        <v>88708.82</v>
      </c>
      <c r="AA64" s="907">
        <f t="shared" si="14"/>
        <v>2.5890518584863416</v>
      </c>
      <c r="AB64" s="1694">
        <f>'116-Revenue &amp; Exp'!N12</f>
        <v>130328.5</v>
      </c>
    </row>
    <row r="65" spans="6:28" ht="20.100000000000001" customHeight="1" thickBot="1" x14ac:dyDescent="0.35">
      <c r="F65" s="941">
        <v>61135</v>
      </c>
      <c r="G65" s="647" t="s">
        <v>507</v>
      </c>
      <c r="H65" s="952">
        <f>'050-Debt Reduction'!C18</f>
        <v>97188</v>
      </c>
      <c r="I65" s="1164">
        <f>'[1]GENERAL FUND REVENUE'!$O$68</f>
        <v>72556</v>
      </c>
      <c r="J65" s="755">
        <f t="shared" si="15"/>
        <v>72556</v>
      </c>
      <c r="K65" s="755">
        <f>31500+39306.47</f>
        <v>70806.47</v>
      </c>
      <c r="M65" s="755">
        <f t="shared" si="1"/>
        <v>-1749.5299999999988</v>
      </c>
      <c r="N65" s="907">
        <f t="shared" si="2"/>
        <v>0.97588717680136727</v>
      </c>
      <c r="O65" s="1228">
        <f>'050-Debt Reduction'!C18</f>
        <v>97188</v>
      </c>
      <c r="P65" s="755">
        <f>99150+16500</f>
        <v>115650</v>
      </c>
      <c r="Q65" s="755">
        <f t="shared" si="16"/>
        <v>18462</v>
      </c>
      <c r="R65" s="755">
        <v>120000</v>
      </c>
      <c r="S65" s="755">
        <v>120000</v>
      </c>
      <c r="U65" s="755">
        <f>R65</f>
        <v>120000</v>
      </c>
      <c r="V65" s="755">
        <v>120000</v>
      </c>
      <c r="W65" s="951">
        <f t="shared" si="17"/>
        <v>0</v>
      </c>
      <c r="X65" s="951">
        <f>'050-Debt Reduction'!E20</f>
        <v>118539</v>
      </c>
      <c r="Y65" s="755">
        <f>[13]DETAIL!$D$150</f>
        <v>100402.46</v>
      </c>
      <c r="Z65" s="755">
        <f t="shared" si="18"/>
        <v>-18136.539999999994</v>
      </c>
      <c r="AA65" s="907">
        <f t="shared" si="14"/>
        <v>0.8469993841689234</v>
      </c>
      <c r="AB65" s="1694">
        <f>'050-Debt Reduction'!I20</f>
        <v>118503</v>
      </c>
    </row>
    <row r="66" spans="6:28" ht="20.100000000000001" hidden="1" customHeight="1" thickBot="1" x14ac:dyDescent="0.35">
      <c r="F66" s="941">
        <v>61124</v>
      </c>
      <c r="G66" s="648" t="s">
        <v>794</v>
      </c>
      <c r="H66" s="953"/>
      <c r="I66" s="1164"/>
      <c r="M66" s="755">
        <f t="shared" si="1"/>
        <v>0</v>
      </c>
      <c r="N66" s="907" t="e">
        <f t="shared" si="2"/>
        <v>#DIV/0!</v>
      </c>
      <c r="U66" s="755"/>
      <c r="Z66" s="755">
        <f t="shared" si="18"/>
        <v>0</v>
      </c>
      <c r="AA66" s="907" t="e">
        <f t="shared" si="14"/>
        <v>#DIV/0!</v>
      </c>
    </row>
    <row r="67" spans="6:28" ht="20.100000000000001" customHeight="1" thickBot="1" x14ac:dyDescent="0.35">
      <c r="F67" s="1223">
        <v>61100</v>
      </c>
      <c r="G67" s="1224" t="s">
        <v>886</v>
      </c>
      <c r="H67" s="1225"/>
      <c r="I67" s="1228"/>
      <c r="J67" s="1229"/>
      <c r="K67" s="1230">
        <v>17275.060000000001</v>
      </c>
      <c r="L67" s="1230"/>
      <c r="M67" s="1230">
        <f t="shared" si="1"/>
        <v>17275.060000000001</v>
      </c>
      <c r="N67" s="1231">
        <v>1</v>
      </c>
      <c r="U67" s="755"/>
      <c r="Y67" s="755">
        <f>[13]DETAIL!$D$157</f>
        <v>109250</v>
      </c>
      <c r="Z67" s="755">
        <f t="shared" si="18"/>
        <v>109250</v>
      </c>
      <c r="AA67" s="907">
        <v>1</v>
      </c>
      <c r="AB67" s="1694">
        <f>90000+13200</f>
        <v>103200</v>
      </c>
    </row>
    <row r="68" spans="6:28" ht="18.75" thickBot="1" x14ac:dyDescent="0.4">
      <c r="F68" s="942"/>
      <c r="G68" s="943" t="s">
        <v>50</v>
      </c>
      <c r="H68" s="667">
        <f t="shared" ref="H68" si="19">SUM(H62:H66)</f>
        <v>471627</v>
      </c>
      <c r="I68" s="1226">
        <f>SUM(I63:I65)</f>
        <v>777894</v>
      </c>
      <c r="J68" s="1227">
        <f>SUM(J63:J67)</f>
        <v>777894</v>
      </c>
      <c r="K68" s="1227">
        <f>SUM(K63:K67)</f>
        <v>445632.45</v>
      </c>
      <c r="L68" s="1210"/>
      <c r="M68" s="1227">
        <f>SUM(M63:M67)</f>
        <v>-332261.55</v>
      </c>
      <c r="N68" s="907">
        <f t="shared" si="2"/>
        <v>0.57287040393678312</v>
      </c>
      <c r="O68" s="1257">
        <f>SUM(O63:O67)</f>
        <v>471627</v>
      </c>
      <c r="P68" s="1257">
        <f t="shared" ref="P68:AB68" si="20">SUM(P63:P67)</f>
        <v>593007.21</v>
      </c>
      <c r="Q68" s="1257">
        <f t="shared" si="20"/>
        <v>121380.20999999999</v>
      </c>
      <c r="R68" s="1257">
        <f t="shared" si="20"/>
        <v>552000</v>
      </c>
      <c r="S68" s="1257">
        <f t="shared" si="20"/>
        <v>552000</v>
      </c>
      <c r="U68" s="1499">
        <f t="shared" si="20"/>
        <v>552000</v>
      </c>
      <c r="V68" s="1499">
        <f t="shared" si="20"/>
        <v>620000</v>
      </c>
      <c r="W68" s="1177">
        <f>V68-U68</f>
        <v>68000</v>
      </c>
      <c r="X68" s="1499">
        <f t="shared" si="20"/>
        <v>463500</v>
      </c>
      <c r="Y68" s="1499">
        <f t="shared" si="20"/>
        <v>629258.03</v>
      </c>
      <c r="Z68" s="1499">
        <f t="shared" si="20"/>
        <v>165758.03000000003</v>
      </c>
      <c r="AA68" s="907">
        <f t="shared" si="14"/>
        <v>1.3576225026968718</v>
      </c>
      <c r="AB68" s="1499">
        <f t="shared" si="20"/>
        <v>663432.5</v>
      </c>
    </row>
    <row r="69" spans="6:28" ht="18.75" thickBot="1" x14ac:dyDescent="0.4">
      <c r="F69" s="274" t="s">
        <v>51</v>
      </c>
      <c r="G69" s="275"/>
      <c r="H69" s="769" t="e">
        <f>H68+H59+H6+H60</f>
        <v>#REF!</v>
      </c>
      <c r="I69" s="769">
        <f>I68+I59</f>
        <v>3476806</v>
      </c>
      <c r="J69" s="769">
        <f>J68+J59</f>
        <v>3485914</v>
      </c>
      <c r="K69" s="769">
        <f>K68+K59</f>
        <v>3149816.47</v>
      </c>
      <c r="L69" s="769"/>
      <c r="M69" s="769">
        <f>M68+M59</f>
        <v>-336097.52999999997</v>
      </c>
      <c r="N69" s="1256">
        <f t="shared" si="2"/>
        <v>0.90358410161581737</v>
      </c>
      <c r="O69" s="1283">
        <f>O59+O68</f>
        <v>3413732</v>
      </c>
      <c r="P69" s="1283">
        <f>P59+P68</f>
        <v>3038521.56</v>
      </c>
      <c r="Q69" s="1283">
        <f>Q59+Q68</f>
        <v>-375210.43999999994</v>
      </c>
      <c r="R69" s="1283">
        <f>R59+R68</f>
        <v>3226273</v>
      </c>
      <c r="S69" s="1283">
        <f>S59+S68</f>
        <v>3227329</v>
      </c>
      <c r="U69" s="1283">
        <f>U59+U68</f>
        <v>3388180</v>
      </c>
      <c r="V69" s="1283">
        <f>V59+V68</f>
        <v>3438838</v>
      </c>
      <c r="W69" s="1177">
        <f>V69-U69</f>
        <v>50658</v>
      </c>
      <c r="X69" s="1283">
        <f>X59+X68</f>
        <v>3543191</v>
      </c>
      <c r="Y69" s="1283">
        <f>Y59+Y68</f>
        <v>3629051.1060867552</v>
      </c>
      <c r="Z69" s="1283">
        <f>Z59+Z68</f>
        <v>124034.10608675586</v>
      </c>
      <c r="AA69" s="907">
        <f t="shared" si="14"/>
        <v>1.0242324238480949</v>
      </c>
      <c r="AB69" s="1283">
        <f>AB59+AB68</f>
        <v>3585708</v>
      </c>
    </row>
    <row r="72" spans="6:28" x14ac:dyDescent="0.3">
      <c r="G72" s="63" t="s">
        <v>1098</v>
      </c>
    </row>
    <row r="73" spans="6:28" x14ac:dyDescent="0.3">
      <c r="G73" s="63" t="s">
        <v>1100</v>
      </c>
    </row>
    <row r="74" spans="6:28" x14ac:dyDescent="0.3">
      <c r="G74" s="63" t="s">
        <v>1103</v>
      </c>
    </row>
    <row r="75" spans="6:28" x14ac:dyDescent="0.3">
      <c r="G75" s="63" t="s">
        <v>1104</v>
      </c>
    </row>
    <row r="76" spans="6:28" x14ac:dyDescent="0.3">
      <c r="G76" s="63" t="s">
        <v>1105</v>
      </c>
    </row>
    <row r="77" spans="6:28" x14ac:dyDescent="0.3">
      <c r="G77" s="63" t="s">
        <v>1101</v>
      </c>
    </row>
    <row r="78" spans="6:28" x14ac:dyDescent="0.3">
      <c r="G78" s="63" t="s">
        <v>1106</v>
      </c>
    </row>
  </sheetData>
  <mergeCells count="1">
    <mergeCell ref="F2:G2"/>
  </mergeCells>
  <phoneticPr fontId="20" type="noConversion"/>
  <pageMargins left="0.75" right="0.75" top="1" bottom="1" header="0.5" footer="0.5"/>
  <pageSetup paperSize="5" fitToHeight="0" orientation="landscape" horizontalDpi="200" verticalDpi="200" r:id="rId1"/>
  <headerFooter alignWithMargins="0">
    <oddHeader>&amp;RPAGE 3-6</oddHeader>
    <oddFooter>&amp;F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E62B-4D35-4C13-AC2A-254DE70DD66F}">
  <sheetPr>
    <pageSetUpPr fitToPage="1"/>
  </sheetPr>
  <dimension ref="A1:F16"/>
  <sheetViews>
    <sheetView workbookViewId="0">
      <selection sqref="A1:F16"/>
    </sheetView>
  </sheetViews>
  <sheetFormatPr defaultRowHeight="15" x14ac:dyDescent="0.25"/>
  <cols>
    <col min="1" max="1" width="28.140625" bestFit="1" customWidth="1"/>
    <col min="2" max="2" width="50.7109375" customWidth="1"/>
    <col min="3" max="3" width="27.42578125" hidden="1" customWidth="1"/>
    <col min="4" max="4" width="15.42578125" style="76" hidden="1" customWidth="1"/>
    <col min="5" max="5" width="18.42578125" style="76" customWidth="1"/>
    <col min="6" max="6" width="21.7109375" style="76" customWidth="1"/>
  </cols>
  <sheetData>
    <row r="1" spans="1:6" ht="22.5" x14ac:dyDescent="0.4">
      <c r="A1" s="52"/>
      <c r="B1" s="1298" t="s">
        <v>927</v>
      </c>
      <c r="C1" s="718"/>
      <c r="D1" s="1563"/>
      <c r="E1" s="43"/>
      <c r="F1" s="1563"/>
    </row>
    <row r="2" spans="1:6" ht="22.5" x14ac:dyDescent="0.4">
      <c r="A2" s="43"/>
      <c r="B2" s="1060" t="s">
        <v>1107</v>
      </c>
      <c r="C2" s="720"/>
      <c r="D2" s="1563"/>
      <c r="E2" s="43"/>
      <c r="F2" s="1563"/>
    </row>
    <row r="3" spans="1:6" ht="22.5" x14ac:dyDescent="0.4">
      <c r="A3" s="43"/>
      <c r="B3" s="55" t="s">
        <v>1155</v>
      </c>
      <c r="C3" s="747"/>
      <c r="D3" s="1563"/>
      <c r="E3" s="43"/>
      <c r="F3" s="1563"/>
    </row>
    <row r="4" spans="1:6" x14ac:dyDescent="0.25">
      <c r="C4" s="85"/>
    </row>
    <row r="5" spans="1:6" ht="18.75" thickBot="1" x14ac:dyDescent="0.4">
      <c r="A5" s="544"/>
      <c r="B5" s="544"/>
      <c r="C5" s="85"/>
    </row>
    <row r="6" spans="1:6" ht="60" customHeight="1" thickBot="1" x14ac:dyDescent="0.4">
      <c r="A6" s="1425" t="s">
        <v>567</v>
      </c>
      <c r="B6" s="1426"/>
      <c r="C6" s="551" t="s">
        <v>944</v>
      </c>
      <c r="D6" s="1428" t="s">
        <v>943</v>
      </c>
      <c r="E6" s="1588" t="s">
        <v>1078</v>
      </c>
      <c r="F6" s="969" t="s">
        <v>1097</v>
      </c>
    </row>
    <row r="7" spans="1:6" ht="18" x14ac:dyDescent="0.35">
      <c r="A7" s="748"/>
      <c r="B7" s="749"/>
      <c r="C7" s="85"/>
      <c r="F7" s="1555"/>
    </row>
    <row r="8" spans="1:6" ht="18" x14ac:dyDescent="0.35">
      <c r="A8" s="748" t="s">
        <v>558</v>
      </c>
      <c r="B8" s="749" t="s">
        <v>940</v>
      </c>
      <c r="C8" s="1258">
        <v>40415.370000000003</v>
      </c>
      <c r="D8" s="76">
        <v>40415.370000000003</v>
      </c>
      <c r="E8" s="76">
        <v>40416</v>
      </c>
      <c r="F8" s="1555">
        <v>35933</v>
      </c>
    </row>
    <row r="9" spans="1:6" ht="18.75" thickBot="1" x14ac:dyDescent="0.4">
      <c r="A9" s="1299"/>
      <c r="B9" s="833"/>
      <c r="C9" s="483"/>
      <c r="D9" s="146"/>
      <c r="E9" s="146"/>
      <c r="F9" s="1808"/>
    </row>
    <row r="10" spans="1:6" ht="18" x14ac:dyDescent="0.35">
      <c r="A10" s="544" t="s">
        <v>766</v>
      </c>
      <c r="B10" s="134" t="s">
        <v>415</v>
      </c>
      <c r="C10" s="1259">
        <f>SUM(C8:C9)</f>
        <v>40415.370000000003</v>
      </c>
      <c r="D10" s="76">
        <f>SUM(D8:D9)</f>
        <v>40415.370000000003</v>
      </c>
      <c r="E10" s="76">
        <f>SUM(E8:E9)</f>
        <v>40416</v>
      </c>
      <c r="F10" s="1555">
        <f>SUM(F8:F9)</f>
        <v>35933</v>
      </c>
    </row>
    <row r="11" spans="1:6" ht="18.75" thickBot="1" x14ac:dyDescent="0.4">
      <c r="A11" s="544"/>
      <c r="B11" s="752"/>
      <c r="C11" s="85"/>
      <c r="F11" s="1555"/>
    </row>
    <row r="12" spans="1:6" ht="45.75" thickBot="1" x14ac:dyDescent="0.4">
      <c r="A12" s="1425" t="s">
        <v>923</v>
      </c>
      <c r="B12" s="1426"/>
      <c r="C12" s="551" t="s">
        <v>944</v>
      </c>
      <c r="D12" s="1428" t="s">
        <v>943</v>
      </c>
      <c r="E12" s="1588" t="s">
        <v>1079</v>
      </c>
      <c r="F12" s="969" t="s">
        <v>1097</v>
      </c>
    </row>
    <row r="13" spans="1:6" x14ac:dyDescent="0.25">
      <c r="F13" s="1555"/>
    </row>
    <row r="14" spans="1:6" x14ac:dyDescent="0.25">
      <c r="B14" t="s">
        <v>1004</v>
      </c>
      <c r="C14" s="119">
        <v>40415.370000000003</v>
      </c>
      <c r="D14" s="76">
        <v>40415.370000000003</v>
      </c>
      <c r="E14" s="76">
        <v>40416</v>
      </c>
      <c r="F14" s="1555">
        <v>35933</v>
      </c>
    </row>
    <row r="15" spans="1:6" ht="15.75" thickBot="1" x14ac:dyDescent="0.3">
      <c r="A15" s="472"/>
      <c r="B15" s="472"/>
      <c r="C15" s="472"/>
      <c r="D15" s="146"/>
      <c r="E15" s="146"/>
      <c r="F15" s="1808"/>
    </row>
    <row r="16" spans="1:6" ht="18" x14ac:dyDescent="0.35">
      <c r="B16" s="134" t="s">
        <v>415</v>
      </c>
      <c r="C16" s="754">
        <f>SUM(C14:C15)</f>
        <v>40415.370000000003</v>
      </c>
      <c r="D16" s="76">
        <f>SUM(D14:D15)</f>
        <v>40415.370000000003</v>
      </c>
      <c r="E16" s="76">
        <f>SUM(E14:E15)</f>
        <v>40416</v>
      </c>
      <c r="F16" s="1555">
        <f>SUM(F14:F15)</f>
        <v>35933</v>
      </c>
    </row>
  </sheetData>
  <pageMargins left="0.7" right="0.7" top="0.75" bottom="0.75" header="0.3" footer="0.3"/>
  <pageSetup paperSize="5" scale="76" fitToHeight="0" orientation="portrait" r:id="rId1"/>
  <headerFooter>
    <oddHeader xml:space="preserve">&amp;RPAGE 49
</oddHeader>
    <oddFooter>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C68C1-80A2-48AC-AC6B-94DFF7EDD5F0}">
  <sheetPr>
    <pageSetUpPr fitToPage="1"/>
  </sheetPr>
  <dimension ref="A1:F16"/>
  <sheetViews>
    <sheetView workbookViewId="0">
      <selection sqref="A1:F16"/>
    </sheetView>
  </sheetViews>
  <sheetFormatPr defaultRowHeight="15.75" x14ac:dyDescent="0.25"/>
  <cols>
    <col min="1" max="1" width="28.140625" bestFit="1" customWidth="1"/>
    <col min="2" max="2" width="34.5703125" customWidth="1"/>
    <col min="3" max="3" width="27.42578125" hidden="1" customWidth="1"/>
    <col min="4" max="4" width="17.5703125" hidden="1" customWidth="1"/>
    <col min="5" max="5" width="23.7109375" style="357" customWidth="1"/>
    <col min="6" max="6" width="19.28515625" style="204" customWidth="1"/>
  </cols>
  <sheetData>
    <row r="1" spans="1:6" ht="22.5" x14ac:dyDescent="0.4">
      <c r="A1" s="52"/>
      <c r="B1" s="1568" t="s">
        <v>928</v>
      </c>
      <c r="C1" s="718"/>
      <c r="D1" s="43"/>
      <c r="E1" s="43"/>
      <c r="F1" s="43"/>
    </row>
    <row r="2" spans="1:6" ht="22.5" x14ac:dyDescent="0.4">
      <c r="A2" s="43"/>
      <c r="B2" s="1060" t="s">
        <v>1107</v>
      </c>
      <c r="C2" s="720"/>
      <c r="D2" s="43"/>
      <c r="E2" s="43"/>
      <c r="F2" s="43"/>
    </row>
    <row r="3" spans="1:6" ht="22.5" x14ac:dyDescent="0.4">
      <c r="A3" s="43"/>
      <c r="B3" s="55" t="s">
        <v>1155</v>
      </c>
      <c r="C3" s="747"/>
      <c r="D3" s="43"/>
      <c r="E3" s="43"/>
      <c r="F3" s="43"/>
    </row>
    <row r="4" spans="1:6" x14ac:dyDescent="0.25">
      <c r="C4" s="85"/>
    </row>
    <row r="5" spans="1:6" ht="18.75" thickBot="1" x14ac:dyDescent="0.4">
      <c r="A5" s="544"/>
      <c r="B5" s="544"/>
      <c r="C5" s="85"/>
    </row>
    <row r="6" spans="1:6" ht="60" customHeight="1" thickBot="1" x14ac:dyDescent="0.4">
      <c r="A6" s="1425" t="s">
        <v>567</v>
      </c>
      <c r="B6" s="1426"/>
      <c r="C6" s="551" t="s">
        <v>944</v>
      </c>
      <c r="D6" s="1312" t="s">
        <v>943</v>
      </c>
      <c r="E6" s="1619" t="s">
        <v>1078</v>
      </c>
      <c r="F6" s="1819" t="s">
        <v>1097</v>
      </c>
    </row>
    <row r="7" spans="1:6" ht="18" x14ac:dyDescent="0.35">
      <c r="A7" s="748"/>
      <c r="B7" s="749"/>
      <c r="C7" s="85"/>
      <c r="F7" s="1711"/>
    </row>
    <row r="8" spans="1:6" ht="18" x14ac:dyDescent="0.35">
      <c r="A8" s="748" t="s">
        <v>558</v>
      </c>
      <c r="B8" s="749" t="s">
        <v>842</v>
      </c>
      <c r="C8" s="1258">
        <v>56288.36</v>
      </c>
      <c r="D8" s="1582">
        <v>56288.36</v>
      </c>
      <c r="E8" s="357">
        <v>56288</v>
      </c>
      <c r="F8" s="1711">
        <v>56288</v>
      </c>
    </row>
    <row r="9" spans="1:6" ht="18.75" thickBot="1" x14ac:dyDescent="0.4">
      <c r="A9" s="1299"/>
      <c r="B9" s="833"/>
      <c r="C9" s="483"/>
      <c r="D9" s="472"/>
      <c r="E9" s="365"/>
      <c r="F9" s="1719"/>
    </row>
    <row r="10" spans="1:6" ht="18" x14ac:dyDescent="0.35">
      <c r="A10" s="544" t="s">
        <v>766</v>
      </c>
      <c r="B10" s="134" t="s">
        <v>415</v>
      </c>
      <c r="C10" s="1259">
        <f>SUM(C8:C9)</f>
        <v>56288.36</v>
      </c>
      <c r="D10" s="1024">
        <f>SUM(D8:D9)</f>
        <v>56288.36</v>
      </c>
      <c r="E10" s="357">
        <f>SUM(E8:E9)</f>
        <v>56288</v>
      </c>
      <c r="F10" s="1812">
        <f>SUM(F8:F9)</f>
        <v>56288</v>
      </c>
    </row>
    <row r="11" spans="1:6" ht="18.75" thickBot="1" x14ac:dyDescent="0.4">
      <c r="A11" s="544"/>
      <c r="B11" s="752"/>
      <c r="C11" s="85"/>
      <c r="F11" s="1711"/>
    </row>
    <row r="12" spans="1:6" ht="60" customHeight="1" thickBot="1" x14ac:dyDescent="0.4">
      <c r="A12" s="1425" t="s">
        <v>923</v>
      </c>
      <c r="B12" s="1344"/>
      <c r="C12" s="551" t="s">
        <v>944</v>
      </c>
      <c r="D12" s="1312" t="s">
        <v>943</v>
      </c>
      <c r="E12" s="1619" t="s">
        <v>1078</v>
      </c>
      <c r="F12" s="1819" t="s">
        <v>1097</v>
      </c>
    </row>
    <row r="13" spans="1:6" x14ac:dyDescent="0.25">
      <c r="F13" s="1711"/>
    </row>
    <row r="14" spans="1:6" ht="18" x14ac:dyDescent="0.35">
      <c r="B14" s="752" t="s">
        <v>954</v>
      </c>
      <c r="C14" s="119">
        <v>56288.36</v>
      </c>
      <c r="D14" s="1582">
        <v>56288.36</v>
      </c>
      <c r="E14" s="357">
        <v>56288</v>
      </c>
      <c r="F14" s="1711">
        <v>56288</v>
      </c>
    </row>
    <row r="15" spans="1:6" ht="16.5" thickBot="1" x14ac:dyDescent="0.3">
      <c r="A15" s="472"/>
      <c r="B15" s="472"/>
      <c r="C15" s="472"/>
      <c r="D15" s="472"/>
      <c r="E15" s="365"/>
      <c r="F15" s="1719"/>
    </row>
    <row r="16" spans="1:6" ht="18" x14ac:dyDescent="0.35">
      <c r="B16" s="134" t="s">
        <v>415</v>
      </c>
      <c r="C16" s="754">
        <f>SUM(C14:C15)</f>
        <v>56288.36</v>
      </c>
      <c r="D16" s="1024">
        <f>SUM(D14:D15)</f>
        <v>56288.36</v>
      </c>
      <c r="E16" s="357">
        <f>SUM(E14:E15)</f>
        <v>56288</v>
      </c>
      <c r="F16" s="1812">
        <f>SUM(F14:F15)</f>
        <v>56288</v>
      </c>
    </row>
  </sheetData>
  <pageMargins left="0.7" right="0.7" top="0.75" bottom="0.75" header="0.3" footer="0.3"/>
  <pageSetup paperSize="5" scale="85" fitToHeight="0" orientation="portrait" r:id="rId1"/>
  <headerFooter>
    <oddHeader xml:space="preserve">&amp;RPAGE 50
</oddHeader>
    <oddFooter>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F24"/>
  <sheetViews>
    <sheetView workbookViewId="0">
      <selection activeCell="B6" sqref="B6"/>
    </sheetView>
  </sheetViews>
  <sheetFormatPr defaultRowHeight="15" x14ac:dyDescent="0.25"/>
  <cols>
    <col min="2" max="2" width="33.7109375" customWidth="1"/>
    <col min="3" max="3" width="23.7109375" style="85" hidden="1" customWidth="1"/>
    <col min="4" max="4" width="17.5703125" style="1024" hidden="1" customWidth="1"/>
    <col min="5" max="5" width="13.7109375" customWidth="1"/>
    <col min="6" max="6" width="21.42578125" style="204" customWidth="1"/>
  </cols>
  <sheetData>
    <row r="1" spans="1:6" ht="22.5" x14ac:dyDescent="0.4">
      <c r="A1" s="52"/>
      <c r="B1" s="52" t="s">
        <v>1058</v>
      </c>
      <c r="C1" s="718"/>
      <c r="D1" s="1584"/>
      <c r="E1" s="720"/>
      <c r="F1" s="202"/>
    </row>
    <row r="2" spans="1:6" ht="18.75" customHeight="1" x14ac:dyDescent="0.4">
      <c r="A2" s="43"/>
      <c r="B2" s="1060" t="s">
        <v>1107</v>
      </c>
      <c r="C2" s="720"/>
      <c r="D2" s="1585"/>
      <c r="E2" s="720"/>
      <c r="F2" s="202"/>
    </row>
    <row r="3" spans="1:6" ht="22.5" hidden="1" x14ac:dyDescent="0.4">
      <c r="A3" s="1280" t="s">
        <v>1005</v>
      </c>
      <c r="B3" s="54"/>
      <c r="C3" s="747"/>
      <c r="D3" s="1586"/>
      <c r="E3" s="720"/>
      <c r="F3" s="202"/>
    </row>
    <row r="4" spans="1:6" hidden="1" x14ac:dyDescent="0.25"/>
    <row r="5" spans="1:6" ht="24" thickBot="1" x14ac:dyDescent="0.4">
      <c r="A5" s="720"/>
      <c r="B5" s="1655" t="s">
        <v>1155</v>
      </c>
      <c r="C5" s="720"/>
      <c r="D5" s="720"/>
      <c r="E5" s="720"/>
      <c r="F5" s="202"/>
    </row>
    <row r="6" spans="1:6" ht="55.15" customHeight="1" thickBot="1" x14ac:dyDescent="0.4">
      <c r="A6" s="154" t="s">
        <v>567</v>
      </c>
      <c r="B6" s="544"/>
      <c r="C6" s="551" t="s">
        <v>944</v>
      </c>
      <c r="D6" s="1441" t="s">
        <v>943</v>
      </c>
      <c r="E6" s="1588" t="s">
        <v>1078</v>
      </c>
      <c r="F6" s="1819" t="s">
        <v>1097</v>
      </c>
    </row>
    <row r="7" spans="1:6" ht="18" x14ac:dyDescent="0.35">
      <c r="A7" s="748"/>
      <c r="B7" s="749"/>
      <c r="F7" s="1711"/>
    </row>
    <row r="8" spans="1:6" ht="18" x14ac:dyDescent="0.35">
      <c r="A8" s="748" t="s">
        <v>558</v>
      </c>
      <c r="B8" s="749" t="s">
        <v>842</v>
      </c>
      <c r="C8" s="1258">
        <v>812092</v>
      </c>
      <c r="D8" s="1024">
        <v>822194</v>
      </c>
      <c r="E8" s="204">
        <v>829037</v>
      </c>
      <c r="F8" s="1711">
        <v>798194</v>
      </c>
    </row>
    <row r="9" spans="1:6" ht="18.75" thickBot="1" x14ac:dyDescent="0.4">
      <c r="A9" s="1299"/>
      <c r="B9" s="833" t="s">
        <v>916</v>
      </c>
      <c r="C9" s="483">
        <f>'116-Revenue &amp; Exp'!H14</f>
        <v>101000</v>
      </c>
      <c r="D9" s="1068">
        <v>143324</v>
      </c>
      <c r="E9" s="1197">
        <v>60000</v>
      </c>
      <c r="F9" s="1719">
        <v>78000</v>
      </c>
    </row>
    <row r="10" spans="1:6" ht="18" x14ac:dyDescent="0.35">
      <c r="A10" s="544" t="s">
        <v>766</v>
      </c>
      <c r="B10" s="134" t="s">
        <v>415</v>
      </c>
      <c r="C10" s="1259">
        <f>SUM(C8:C9)</f>
        <v>913092</v>
      </c>
      <c r="D10" s="1587">
        <f>SUM(D8:D9)</f>
        <v>965518</v>
      </c>
      <c r="E10" s="1587">
        <f>SUM(E8:E9)</f>
        <v>889037</v>
      </c>
      <c r="F10" s="1822">
        <f>SUM(F8:F9)</f>
        <v>876194</v>
      </c>
    </row>
    <row r="11" spans="1:6" ht="18.75" thickBot="1" x14ac:dyDescent="0.4">
      <c r="A11" s="544"/>
      <c r="B11" s="752"/>
      <c r="F11" s="1711"/>
    </row>
    <row r="12" spans="1:6" ht="45.75" thickBot="1" x14ac:dyDescent="0.4">
      <c r="A12" s="154" t="s">
        <v>843</v>
      </c>
      <c r="B12" s="752"/>
      <c r="C12" s="551" t="s">
        <v>944</v>
      </c>
      <c r="D12" s="1441" t="s">
        <v>943</v>
      </c>
      <c r="E12" s="1588" t="s">
        <v>1078</v>
      </c>
      <c r="F12" s="1819" t="s">
        <v>1097</v>
      </c>
    </row>
    <row r="13" spans="1:6" ht="18" x14ac:dyDescent="0.35">
      <c r="A13" s="154"/>
      <c r="B13" s="752"/>
      <c r="F13" s="1711"/>
    </row>
    <row r="14" spans="1:6" x14ac:dyDescent="0.25">
      <c r="A14" t="s">
        <v>929</v>
      </c>
      <c r="B14" t="s">
        <v>844</v>
      </c>
      <c r="C14" s="1024">
        <f>'[8]PAYABLE SCHEDULE DUE IN 1 YEAR'!$J$7</f>
        <v>296734.95999999996</v>
      </c>
      <c r="D14" s="1024">
        <f>'[9]PAYABLE SCHEDULE DUE IN 1 YEAR'!$K$7</f>
        <v>296734.95999999996</v>
      </c>
      <c r="E14" s="204">
        <f>'2007 PBA WARRANT (JAIL LEASE)'!E14</f>
        <v>295945</v>
      </c>
      <c r="F14" s="1711">
        <v>294786</v>
      </c>
    </row>
    <row r="15" spans="1:6" x14ac:dyDescent="0.25">
      <c r="A15" t="s">
        <v>929</v>
      </c>
      <c r="B15" t="s">
        <v>845</v>
      </c>
      <c r="C15" s="1024">
        <f>'[8]PAYABLE SCHEDULE DUE IN 1 YEAR'!$J$8</f>
        <v>55643.75</v>
      </c>
      <c r="D15" s="1024">
        <f>'[9]PAYABLE SCHEDULE DUE IN 1 YEAR'!$K$8</f>
        <v>55643.31</v>
      </c>
      <c r="E15" s="204">
        <f>'2007 GEN OBLIG WRNT'!E13</f>
        <v>54531</v>
      </c>
      <c r="F15" s="1711">
        <v>54531</v>
      </c>
    </row>
    <row r="16" spans="1:6" x14ac:dyDescent="0.25">
      <c r="A16" t="s">
        <v>929</v>
      </c>
      <c r="B16" t="s">
        <v>846</v>
      </c>
      <c r="C16" s="1024" t="e">
        <f>'[8]PAYABLE SCHEDULE DUE IN 1 YEAR'!$J$9</f>
        <v>#REF!</v>
      </c>
      <c r="D16" s="1024">
        <f>'[9]PAYABLE SCHEDULE DUE IN 1 YEAR'!$K$9</f>
        <v>206850</v>
      </c>
      <c r="E16" s="204">
        <f>'2010-A GEN OBLIG WRNT (HOTEL)'!E14</f>
        <v>206850</v>
      </c>
      <c r="F16" s="1711">
        <v>208346</v>
      </c>
    </row>
    <row r="17" spans="1:6" x14ac:dyDescent="0.25">
      <c r="A17" t="s">
        <v>929</v>
      </c>
      <c r="B17" t="s">
        <v>847</v>
      </c>
      <c r="C17" s="1024">
        <f>'[8]PAYABLE SCHEDULE DUE IN 1 YEAR'!$J$10</f>
        <v>132334</v>
      </c>
      <c r="D17" s="1024">
        <f>'[9]PAYABLE SCHEDULE DUE IN 1 YEAR'!$K$10</f>
        <v>132334</v>
      </c>
      <c r="E17" s="204">
        <f>'2010-B GEN OBLIG WRNT (RENOVAT)'!E15</f>
        <v>132334</v>
      </c>
      <c r="F17" s="1711">
        <v>126310</v>
      </c>
    </row>
    <row r="18" spans="1:6" x14ac:dyDescent="0.25">
      <c r="A18" t="s">
        <v>930</v>
      </c>
      <c r="B18" t="s">
        <v>848</v>
      </c>
      <c r="C18" s="1024">
        <f>'[8]PAYABLE SCHEDULE DUE IN 1 YEAR'!$J$11+0.72</f>
        <v>40416.089999999997</v>
      </c>
      <c r="D18" s="1024">
        <f>'[9]PAYABLE SCHEDULE DUE IN 1 YEAR'!$K$11</f>
        <v>40415.369999999995</v>
      </c>
      <c r="E18" s="204">
        <f>'2013-A GEN OBLIG WRNT'!E16</f>
        <v>40416</v>
      </c>
      <c r="F18" s="1711">
        <v>35933</v>
      </c>
    </row>
    <row r="19" spans="1:6" x14ac:dyDescent="0.25">
      <c r="A19" t="s">
        <v>930</v>
      </c>
      <c r="B19" t="s">
        <v>849</v>
      </c>
      <c r="C19" s="1024">
        <f>'[8]PAYABLE SCHEDULE DUE IN 1 YEAR'!$J$12</f>
        <v>56288.36</v>
      </c>
      <c r="D19" s="1582">
        <f>'[9]PAYABLE SCHEDULE DUE IN 1 YEAR'!$K$12</f>
        <v>56288.36</v>
      </c>
      <c r="E19" s="204">
        <f>'2013-B GEN OBLIG WRNT'!E16</f>
        <v>56288</v>
      </c>
      <c r="F19" s="1711">
        <v>56288</v>
      </c>
    </row>
    <row r="20" spans="1:6" x14ac:dyDescent="0.25">
      <c r="A20" t="s">
        <v>931</v>
      </c>
      <c r="B20" s="64" t="s">
        <v>850</v>
      </c>
      <c r="C20" s="1024">
        <f>'[8]PAYABLE SCHEDULE DUE IN 1 YEAR'!$K$13</f>
        <v>281000</v>
      </c>
      <c r="D20" s="1582">
        <f>'[9]PAYABLE SCHEDULE DUE IN 1 YEAR'!$K$13</f>
        <v>50000</v>
      </c>
      <c r="E20" s="204">
        <v>95866</v>
      </c>
      <c r="F20" s="1711">
        <v>100000</v>
      </c>
    </row>
    <row r="21" spans="1:6" ht="15.75" thickBot="1" x14ac:dyDescent="0.3">
      <c r="A21" t="s">
        <v>931</v>
      </c>
      <c r="B21" s="1067" t="s">
        <v>851</v>
      </c>
      <c r="C21" s="1068">
        <f>'[8]PAYABLE SCHEDULE DUE IN 1 YEAR'!$K$14</f>
        <v>0</v>
      </c>
      <c r="D21" s="1068">
        <f>'[9]PAYABLE SCHEDULE DUE IN 1 YEAR'!$K$14</f>
        <v>81386</v>
      </c>
      <c r="E21" s="1197">
        <v>6807</v>
      </c>
      <c r="F21" s="1719"/>
    </row>
    <row r="22" spans="1:6" ht="18" x14ac:dyDescent="0.35">
      <c r="A22" s="154"/>
      <c r="B22" s="69" t="s">
        <v>415</v>
      </c>
      <c r="C22" s="1069" t="e">
        <f>SUM(C14:C21)</f>
        <v>#REF!</v>
      </c>
      <c r="D22" s="1587">
        <f>SUM(D14:D21)</f>
        <v>919652</v>
      </c>
      <c r="E22" s="1587">
        <f>SUM(E14:E21)</f>
        <v>889037</v>
      </c>
      <c r="F22" s="1822">
        <f>SUM(F14:F21)</f>
        <v>876194</v>
      </c>
    </row>
    <row r="23" spans="1:6" ht="18" x14ac:dyDescent="0.35">
      <c r="A23" s="544"/>
      <c r="B23" s="544"/>
    </row>
    <row r="24" spans="1:6" ht="18" x14ac:dyDescent="0.35">
      <c r="A24" s="544"/>
      <c r="B24" s="544"/>
    </row>
  </sheetData>
  <pageMargins left="0.7" right="0.7" top="0.75" bottom="0.75" header="0.3" footer="0.3"/>
  <pageSetup paperSize="5" orientation="portrait" r:id="rId1"/>
  <headerFooter>
    <oddHeader>&amp;RPAGE 51</oddHeader>
    <oddFooter>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8DEB-9FCB-491A-B5C8-4C8128E3C6AF}">
  <sheetPr>
    <pageSetUpPr fitToPage="1"/>
  </sheetPr>
  <dimension ref="A1:E17"/>
  <sheetViews>
    <sheetView workbookViewId="0">
      <selection sqref="A1:E15"/>
    </sheetView>
  </sheetViews>
  <sheetFormatPr defaultRowHeight="15" x14ac:dyDescent="0.25"/>
  <cols>
    <col min="2" max="2" width="33.7109375" customWidth="1"/>
    <col min="3" max="3" width="23.7109375" style="85" hidden="1" customWidth="1"/>
    <col min="4" max="4" width="17.5703125" style="1024" customWidth="1"/>
    <col min="5" max="5" width="17.85546875" style="1199" customWidth="1"/>
  </cols>
  <sheetData>
    <row r="1" spans="1:5" ht="22.5" x14ac:dyDescent="0.4">
      <c r="A1" s="52"/>
      <c r="B1" s="52" t="s">
        <v>1059</v>
      </c>
      <c r="C1" s="718"/>
      <c r="D1" s="1584"/>
      <c r="E1" s="1820"/>
    </row>
    <row r="2" spans="1:5" ht="18.75" customHeight="1" x14ac:dyDescent="0.4">
      <c r="A2" s="43"/>
      <c r="B2" s="1060" t="s">
        <v>1107</v>
      </c>
      <c r="C2" s="720"/>
      <c r="D2" s="1585"/>
      <c r="E2" s="1820"/>
    </row>
    <row r="3" spans="1:5" ht="22.5" hidden="1" x14ac:dyDescent="0.4">
      <c r="A3" s="1280" t="s">
        <v>1005</v>
      </c>
      <c r="B3" s="54"/>
      <c r="C3" s="747"/>
      <c r="D3" s="1586"/>
      <c r="E3" s="1820"/>
    </row>
    <row r="4" spans="1:5" hidden="1" x14ac:dyDescent="0.25">
      <c r="E4" s="1820"/>
    </row>
    <row r="5" spans="1:5" ht="23.25" thickBot="1" x14ac:dyDescent="0.45">
      <c r="A5" s="720"/>
      <c r="B5" s="52" t="s">
        <v>1155</v>
      </c>
      <c r="C5" s="720"/>
      <c r="D5" s="720"/>
      <c r="E5" s="1820"/>
    </row>
    <row r="6" spans="1:5" ht="60" customHeight="1" thickBot="1" x14ac:dyDescent="0.45">
      <c r="A6" s="1636" t="s">
        <v>567</v>
      </c>
      <c r="B6" s="1637"/>
      <c r="C6" s="1638" t="s">
        <v>944</v>
      </c>
      <c r="D6" s="1639" t="s">
        <v>1013</v>
      </c>
      <c r="E6" s="1823" t="s">
        <v>1127</v>
      </c>
    </row>
    <row r="7" spans="1:5" ht="21" x14ac:dyDescent="0.4">
      <c r="A7" s="1640"/>
      <c r="B7" s="1641"/>
      <c r="C7" s="1642"/>
      <c r="D7" s="1643"/>
      <c r="E7" s="1824"/>
    </row>
    <row r="8" spans="1:5" ht="21" x14ac:dyDescent="0.4">
      <c r="A8" s="1640" t="s">
        <v>558</v>
      </c>
      <c r="B8" s="1641" t="s">
        <v>1060</v>
      </c>
      <c r="C8" s="1644">
        <v>812092</v>
      </c>
      <c r="D8" s="1643">
        <v>476153</v>
      </c>
      <c r="E8" s="1825">
        <v>420963</v>
      </c>
    </row>
    <row r="9" spans="1:5" ht="21.75" thickBot="1" x14ac:dyDescent="0.45">
      <c r="A9" s="1645"/>
      <c r="B9" s="369"/>
      <c r="C9" s="767">
        <f>'116-Revenue &amp; Exp'!H14</f>
        <v>101000</v>
      </c>
      <c r="D9" s="1646"/>
      <c r="E9" s="1826"/>
    </row>
    <row r="10" spans="1:5" ht="21" x14ac:dyDescent="0.4">
      <c r="A10" s="1637" t="s">
        <v>766</v>
      </c>
      <c r="B10" s="1647" t="s">
        <v>415</v>
      </c>
      <c r="C10" s="1648">
        <f>SUM(C8:C9)</f>
        <v>913092</v>
      </c>
      <c r="D10" s="1649">
        <f>SUM(D8:D9)</f>
        <v>476153</v>
      </c>
      <c r="E10" s="1827">
        <f>SUM(E8:E9)</f>
        <v>420963</v>
      </c>
    </row>
    <row r="11" spans="1:5" ht="21.75" thickBot="1" x14ac:dyDescent="0.45">
      <c r="A11" s="1637"/>
      <c r="B11" s="1650"/>
      <c r="C11" s="1642"/>
      <c r="D11" s="1643"/>
      <c r="E11" s="1824"/>
    </row>
    <row r="12" spans="1:5" ht="58.5" thickBot="1" x14ac:dyDescent="0.45">
      <c r="A12" s="1636" t="s">
        <v>1061</v>
      </c>
      <c r="B12" s="1650"/>
      <c r="C12" s="1638" t="s">
        <v>944</v>
      </c>
      <c r="D12" s="1639" t="s">
        <v>1013</v>
      </c>
      <c r="E12" s="1823" t="s">
        <v>1127</v>
      </c>
    </row>
    <row r="13" spans="1:5" ht="21" x14ac:dyDescent="0.4">
      <c r="A13" s="1636"/>
      <c r="B13" s="1650"/>
      <c r="C13" s="1642"/>
      <c r="D13" s="1643"/>
      <c r="E13" s="1824"/>
    </row>
    <row r="14" spans="1:5" ht="19.5" thickBot="1" x14ac:dyDescent="0.35">
      <c r="A14" s="1651"/>
      <c r="B14" s="1651" t="s">
        <v>1062</v>
      </c>
      <c r="C14" s="1646">
        <f>'[8]PAYABLE SCHEDULE DUE IN 1 YEAR'!$J$7</f>
        <v>296734.95999999996</v>
      </c>
      <c r="D14" s="1646">
        <v>476153</v>
      </c>
      <c r="E14" s="1828">
        <v>420963</v>
      </c>
    </row>
    <row r="15" spans="1:5" ht="21" x14ac:dyDescent="0.4">
      <c r="A15" s="1636"/>
      <c r="B15" s="1311" t="s">
        <v>415</v>
      </c>
      <c r="C15" s="1652">
        <f>SUM(C14:C14)</f>
        <v>296734.95999999996</v>
      </c>
      <c r="D15" s="1649">
        <f>SUM(D14:D14)</f>
        <v>476153</v>
      </c>
      <c r="E15" s="1827">
        <f>SUM(E14:E14)</f>
        <v>420963</v>
      </c>
    </row>
    <row r="16" spans="1:5" ht="18" x14ac:dyDescent="0.35">
      <c r="A16" s="544"/>
      <c r="B16" s="544"/>
    </row>
    <row r="17" spans="1:2" ht="18" x14ac:dyDescent="0.35">
      <c r="A17" s="544"/>
      <c r="B17" s="544"/>
    </row>
  </sheetData>
  <pageMargins left="0.7" right="0.7" top="0.75" bottom="0.75" header="0.3" footer="0.3"/>
  <pageSetup paperSize="5" fitToHeight="0" orientation="portrait" r:id="rId1"/>
  <headerFooter>
    <oddHeader>&amp;RPAGE 51</oddHeader>
    <oddFooter>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C5DF-5753-4229-91E7-057F28DEC830}">
  <sheetPr>
    <pageSetUpPr fitToPage="1"/>
  </sheetPr>
  <dimension ref="A1:D14"/>
  <sheetViews>
    <sheetView workbookViewId="0">
      <selection sqref="A1:D14"/>
    </sheetView>
  </sheetViews>
  <sheetFormatPr defaultRowHeight="15" x14ac:dyDescent="0.25"/>
  <cols>
    <col min="1" max="1" width="27.5703125" customWidth="1"/>
    <col min="2" max="2" width="43.7109375" bestFit="1" customWidth="1"/>
    <col min="3" max="3" width="23.5703125" customWidth="1"/>
    <col min="4" max="4" width="23.140625" customWidth="1"/>
  </cols>
  <sheetData>
    <row r="1" spans="1:4" ht="22.5" x14ac:dyDescent="0.4">
      <c r="A1" s="52"/>
      <c r="B1" s="52" t="s">
        <v>1141</v>
      </c>
      <c r="C1" s="718"/>
      <c r="D1" s="1584"/>
    </row>
    <row r="2" spans="1:4" ht="22.5" x14ac:dyDescent="0.4">
      <c r="A2" s="43"/>
      <c r="B2" s="1060" t="s">
        <v>1142</v>
      </c>
      <c r="C2" s="720"/>
      <c r="D2" s="1585"/>
    </row>
    <row r="3" spans="1:4" ht="22.5" x14ac:dyDescent="0.4">
      <c r="A3" s="440"/>
      <c r="B3" s="53"/>
      <c r="C3" s="720"/>
      <c r="D3" s="1585"/>
    </row>
    <row r="4" spans="1:4" ht="23.25" thickBot="1" x14ac:dyDescent="0.45">
      <c r="A4" s="720"/>
      <c r="B4" s="53" t="s">
        <v>1070</v>
      </c>
      <c r="C4" s="720"/>
      <c r="D4" s="720"/>
    </row>
    <row r="5" spans="1:4" ht="58.5" thickBot="1" x14ac:dyDescent="0.45">
      <c r="A5" s="1636" t="s">
        <v>567</v>
      </c>
      <c r="B5" s="1637"/>
      <c r="C5" s="1638" t="s">
        <v>1144</v>
      </c>
      <c r="D5" s="1829" t="s">
        <v>1146</v>
      </c>
    </row>
    <row r="6" spans="1:4" ht="21" x14ac:dyDescent="0.4">
      <c r="A6" s="1640"/>
      <c r="B6" s="1641"/>
      <c r="C6" s="1642"/>
      <c r="D6" s="1830"/>
    </row>
    <row r="7" spans="1:4" ht="21" x14ac:dyDescent="0.4">
      <c r="A7" s="1640" t="s">
        <v>1143</v>
      </c>
      <c r="B7" s="1641" t="s">
        <v>1145</v>
      </c>
      <c r="C7" s="1821">
        <f>[29]Sheet1!$AC$113</f>
        <v>337380.38</v>
      </c>
      <c r="D7" s="1830">
        <v>337380</v>
      </c>
    </row>
    <row r="8" spans="1:4" ht="21.75" thickBot="1" x14ac:dyDescent="0.45">
      <c r="A8" s="1645"/>
      <c r="B8" s="369"/>
      <c r="C8" s="767"/>
      <c r="D8" s="1831"/>
    </row>
    <row r="9" spans="1:4" ht="21" x14ac:dyDescent="0.4">
      <c r="A9" s="1637" t="s">
        <v>766</v>
      </c>
      <c r="B9" s="1647" t="s">
        <v>415</v>
      </c>
      <c r="C9" s="1648">
        <f>SUM(C7:C8)</f>
        <v>337380.38</v>
      </c>
      <c r="D9" s="1832">
        <f>SUM(D7:D8)</f>
        <v>337380</v>
      </c>
    </row>
    <row r="10" spans="1:4" ht="21.75" thickBot="1" x14ac:dyDescent="0.45">
      <c r="A10" s="1637"/>
      <c r="B10" s="1650"/>
      <c r="C10" s="1642"/>
      <c r="D10" s="1830"/>
    </row>
    <row r="11" spans="1:4" ht="58.5" thickBot="1" x14ac:dyDescent="0.45">
      <c r="A11" s="1636" t="s">
        <v>1061</v>
      </c>
      <c r="B11" s="1650"/>
      <c r="C11" s="1638" t="s">
        <v>1147</v>
      </c>
      <c r="D11" s="1829" t="s">
        <v>1146</v>
      </c>
    </row>
    <row r="12" spans="1:4" ht="21" x14ac:dyDescent="0.4">
      <c r="A12" s="1636" t="s">
        <v>1150</v>
      </c>
      <c r="B12" s="1650" t="s">
        <v>1149</v>
      </c>
      <c r="C12" s="1642">
        <f>[36]Sheet1!$X$275</f>
        <v>30</v>
      </c>
      <c r="D12" s="1833"/>
    </row>
    <row r="13" spans="1:4" ht="19.5" thickBot="1" x14ac:dyDescent="0.35">
      <c r="A13" s="1651" t="s">
        <v>1138</v>
      </c>
      <c r="B13" s="1651" t="s">
        <v>1148</v>
      </c>
      <c r="C13" s="1646">
        <f>'[37]APR - JUNE 2020'!$M$15</f>
        <v>186426.49</v>
      </c>
      <c r="D13" s="1831">
        <v>337380</v>
      </c>
    </row>
    <row r="14" spans="1:4" ht="21" x14ac:dyDescent="0.4">
      <c r="A14" s="1636"/>
      <c r="B14" s="1311" t="s">
        <v>415</v>
      </c>
      <c r="C14" s="1652">
        <f>SUM(C13:C13)</f>
        <v>186426.49</v>
      </c>
      <c r="D14" s="1832">
        <f>SUM(D13:D13)</f>
        <v>337380</v>
      </c>
    </row>
  </sheetData>
  <pageMargins left="0.7" right="0.7" top="0.75" bottom="0.75" header="0.3" footer="0.3"/>
  <pageSetup paperSize="5" scale="76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98B1A-DF88-431D-8636-7195DB1F4C7E}">
  <sheetPr>
    <pageSetUpPr fitToPage="1"/>
  </sheetPr>
  <dimension ref="A1:D14"/>
  <sheetViews>
    <sheetView workbookViewId="0">
      <selection activeCell="A27" sqref="A27"/>
    </sheetView>
  </sheetViews>
  <sheetFormatPr defaultRowHeight="15" x14ac:dyDescent="0.25"/>
  <cols>
    <col min="1" max="1" width="27.5703125" customWidth="1"/>
    <col min="2" max="2" width="43.7109375" bestFit="1" customWidth="1"/>
    <col min="3" max="3" width="23.5703125" customWidth="1"/>
    <col min="4" max="4" width="23.140625" customWidth="1"/>
  </cols>
  <sheetData>
    <row r="1" spans="1:4" ht="22.5" x14ac:dyDescent="0.4">
      <c r="A1" s="52"/>
      <c r="B1" s="52" t="s">
        <v>1151</v>
      </c>
      <c r="C1" s="718"/>
      <c r="D1" s="1584"/>
    </row>
    <row r="2" spans="1:4" ht="22.5" x14ac:dyDescent="0.4">
      <c r="A2" s="43"/>
      <c r="B2" s="1060" t="s">
        <v>1142</v>
      </c>
      <c r="C2" s="720"/>
      <c r="D2" s="1585"/>
    </row>
    <row r="3" spans="1:4" ht="22.5" x14ac:dyDescent="0.4">
      <c r="A3" s="440"/>
      <c r="B3" s="53"/>
      <c r="C3" s="720"/>
      <c r="D3" s="1585"/>
    </row>
    <row r="4" spans="1:4" ht="23.25" thickBot="1" x14ac:dyDescent="0.45">
      <c r="A4" s="720"/>
      <c r="B4" s="53" t="s">
        <v>1070</v>
      </c>
      <c r="C4" s="720"/>
      <c r="D4" s="720"/>
    </row>
    <row r="5" spans="1:4" ht="58.5" thickBot="1" x14ac:dyDescent="0.45">
      <c r="A5" s="1636" t="s">
        <v>567</v>
      </c>
      <c r="B5" s="1637"/>
      <c r="C5" s="1638" t="s">
        <v>1144</v>
      </c>
      <c r="D5" s="1829" t="s">
        <v>1146</v>
      </c>
    </row>
    <row r="6" spans="1:4" ht="21" x14ac:dyDescent="0.4">
      <c r="A6" s="1640"/>
      <c r="B6" s="1641"/>
      <c r="C6" s="1642"/>
      <c r="D6" s="1830"/>
    </row>
    <row r="7" spans="1:4" ht="21" x14ac:dyDescent="0.4">
      <c r="A7" s="1640" t="s">
        <v>1152</v>
      </c>
      <c r="B7" s="1641" t="s">
        <v>1145</v>
      </c>
      <c r="C7" s="1821">
        <v>400000</v>
      </c>
      <c r="D7" s="1830">
        <v>800000</v>
      </c>
    </row>
    <row r="8" spans="1:4" ht="21.75" thickBot="1" x14ac:dyDescent="0.45">
      <c r="A8" s="1645"/>
      <c r="B8" s="369"/>
      <c r="C8" s="767"/>
      <c r="D8" s="1831"/>
    </row>
    <row r="9" spans="1:4" ht="21" x14ac:dyDescent="0.4">
      <c r="A9" s="1637" t="s">
        <v>766</v>
      </c>
      <c r="B9" s="1647" t="s">
        <v>415</v>
      </c>
      <c r="C9" s="1648">
        <f>SUM(C7:C8)</f>
        <v>400000</v>
      </c>
      <c r="D9" s="1832">
        <f>SUM(D7:D8)</f>
        <v>800000</v>
      </c>
    </row>
    <row r="10" spans="1:4" ht="21.75" thickBot="1" x14ac:dyDescent="0.45">
      <c r="A10" s="1637"/>
      <c r="B10" s="1650"/>
      <c r="C10" s="1642"/>
      <c r="D10" s="1830"/>
    </row>
    <row r="11" spans="1:4" ht="58.5" thickBot="1" x14ac:dyDescent="0.45">
      <c r="A11" s="1636" t="s">
        <v>1061</v>
      </c>
      <c r="B11" s="1650"/>
      <c r="C11" s="1638" t="s">
        <v>1147</v>
      </c>
      <c r="D11" s="1829" t="s">
        <v>1146</v>
      </c>
    </row>
    <row r="12" spans="1:4" ht="21" x14ac:dyDescent="0.4">
      <c r="A12" s="1636" t="s">
        <v>1150</v>
      </c>
      <c r="B12" s="1650" t="s">
        <v>1149</v>
      </c>
      <c r="C12" s="1642">
        <v>0</v>
      </c>
      <c r="D12" s="1833"/>
    </row>
    <row r="13" spans="1:4" ht="19.5" thickBot="1" x14ac:dyDescent="0.35">
      <c r="A13" s="1651" t="s">
        <v>1138</v>
      </c>
      <c r="B13" s="1651" t="s">
        <v>1153</v>
      </c>
      <c r="C13" s="1646">
        <v>0</v>
      </c>
      <c r="D13" s="1831">
        <v>800000</v>
      </c>
    </row>
    <row r="14" spans="1:4" ht="21" x14ac:dyDescent="0.4">
      <c r="A14" s="1636"/>
      <c r="B14" s="1311" t="s">
        <v>415</v>
      </c>
      <c r="C14" s="1652">
        <f>SUM(C13:C13)</f>
        <v>0</v>
      </c>
      <c r="D14" s="1832">
        <f>SUM(D13:D13)</f>
        <v>800000</v>
      </c>
    </row>
  </sheetData>
  <pageMargins left="0.7" right="0.7" top="0.75" bottom="0.75" header="0.3" footer="0.3"/>
  <pageSetup paperSize="5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D76"/>
  <sheetViews>
    <sheetView topLeftCell="A3" zoomScale="98" zoomScaleNormal="98" workbookViewId="0">
      <selection activeCell="AA25" sqref="AA25"/>
    </sheetView>
  </sheetViews>
  <sheetFormatPr defaultRowHeight="15" x14ac:dyDescent="0.25"/>
  <cols>
    <col min="1" max="1" width="2.28515625" customWidth="1"/>
    <col min="2" max="2" width="14.7109375" customWidth="1"/>
    <col min="3" max="3" width="52.7109375" customWidth="1"/>
    <col min="4" max="4" width="17.42578125" hidden="1" customWidth="1"/>
    <col min="5" max="5" width="21.42578125" style="548" hidden="1" customWidth="1"/>
    <col min="6" max="6" width="17.28515625" style="374" hidden="1" customWidth="1"/>
    <col min="7" max="7" width="20.7109375" style="204" hidden="1" customWidth="1"/>
    <col min="8" max="8" width="16.28515625" style="76" hidden="1" customWidth="1"/>
    <col min="9" max="9" width="17" hidden="1" customWidth="1"/>
    <col min="10" max="10" width="16.7109375" hidden="1" customWidth="1"/>
    <col min="11" max="12" width="18.7109375" style="76" hidden="1" customWidth="1"/>
    <col min="13" max="13" width="16.5703125" hidden="1" customWidth="1"/>
    <col min="14" max="14" width="16.7109375" style="76" hidden="1" customWidth="1"/>
    <col min="15" max="15" width="13.7109375" style="144" hidden="1" customWidth="1"/>
    <col min="16" max="16" width="13.7109375" style="76" hidden="1" customWidth="1"/>
    <col min="17" max="17" width="21.7109375" style="76" hidden="1" customWidth="1"/>
    <col min="18" max="18" width="16.85546875" style="76" hidden="1" customWidth="1"/>
    <col min="19" max="19" width="12.85546875" style="76" hidden="1" customWidth="1"/>
    <col min="20" max="20" width="22.28515625" style="76" hidden="1" customWidth="1"/>
    <col min="21" max="22" width="20.28515625" style="76" hidden="1" customWidth="1"/>
    <col min="23" max="23" width="20.140625" hidden="1" customWidth="1"/>
    <col min="24" max="24" width="25.28515625" hidden="1" customWidth="1"/>
    <col min="25" max="25" width="27.7109375" style="144" hidden="1" customWidth="1"/>
    <col min="26" max="26" width="23.28515625" customWidth="1"/>
    <col min="27" max="27" width="21.7109375" customWidth="1"/>
    <col min="28" max="28" width="17.85546875" style="76" hidden="1" customWidth="1"/>
    <col min="29" max="29" width="15.42578125" style="76" customWidth="1"/>
  </cols>
  <sheetData>
    <row r="1" spans="2:29" ht="22.5" customHeight="1" x14ac:dyDescent="0.4">
      <c r="B1" s="1085"/>
      <c r="C1" s="1086" t="s">
        <v>301</v>
      </c>
      <c r="D1" s="289"/>
      <c r="E1" s="289"/>
      <c r="F1" s="420"/>
      <c r="G1" s="758"/>
      <c r="I1" s="758"/>
      <c r="J1" s="758"/>
      <c r="K1" s="958">
        <f ca="1">TODAY()</f>
        <v>44259</v>
      </c>
      <c r="L1" s="958"/>
      <c r="M1" s="758"/>
      <c r="N1" s="919"/>
      <c r="O1" s="919"/>
      <c r="P1" s="919"/>
      <c r="Q1" s="919"/>
      <c r="R1" s="919"/>
      <c r="S1" s="919"/>
      <c r="T1" s="919"/>
      <c r="U1" s="919"/>
      <c r="V1" s="919"/>
      <c r="W1" s="919"/>
      <c r="X1" s="919"/>
      <c r="Y1" s="420"/>
      <c r="Z1" s="919"/>
      <c r="AA1" s="919"/>
      <c r="AB1" s="919"/>
      <c r="AC1" s="919"/>
    </row>
    <row r="2" spans="2:29" ht="22.5" customHeight="1" x14ac:dyDescent="0.4">
      <c r="B2" s="20"/>
      <c r="C2" s="200" t="s">
        <v>1155</v>
      </c>
      <c r="D2" s="289"/>
      <c r="E2" s="289"/>
      <c r="F2" s="420"/>
      <c r="G2" s="758"/>
      <c r="I2" s="758"/>
      <c r="J2" s="758"/>
      <c r="K2" s="959">
        <f ca="1">NOW()</f>
        <v>44259.508154745374</v>
      </c>
      <c r="L2" s="959"/>
      <c r="M2" s="758"/>
      <c r="N2" s="919"/>
      <c r="O2" s="919"/>
      <c r="P2" s="919"/>
      <c r="Q2" s="919"/>
      <c r="R2" s="919"/>
      <c r="S2" s="919"/>
      <c r="T2" s="919"/>
      <c r="U2" s="919"/>
      <c r="V2" s="919"/>
      <c r="W2" s="919"/>
      <c r="X2" s="919"/>
      <c r="Y2" s="420"/>
      <c r="Z2" s="919"/>
      <c r="AA2" s="919"/>
      <c r="AB2" s="919"/>
      <c r="AC2" s="919"/>
    </row>
    <row r="3" spans="2:29" ht="22.5" customHeight="1" thickBot="1" x14ac:dyDescent="0.45">
      <c r="B3" s="157"/>
      <c r="C3" s="282" t="s">
        <v>1107</v>
      </c>
      <c r="D3" s="289"/>
      <c r="E3" s="289"/>
      <c r="F3" s="420"/>
      <c r="G3" s="758"/>
      <c r="I3" s="758"/>
      <c r="J3" s="758"/>
      <c r="K3" s="919"/>
      <c r="L3" s="919"/>
      <c r="M3" s="758"/>
      <c r="N3" s="919"/>
      <c r="O3" s="919"/>
      <c r="P3" s="919"/>
      <c r="Q3" s="919"/>
      <c r="R3" s="919"/>
      <c r="S3" s="919"/>
      <c r="T3" s="919"/>
      <c r="U3" s="919"/>
      <c r="V3" s="919"/>
      <c r="W3" s="919"/>
      <c r="X3" s="919"/>
      <c r="Y3" s="420"/>
      <c r="Z3" s="919"/>
      <c r="AA3" s="919"/>
      <c r="AB3" s="919"/>
      <c r="AC3" s="919"/>
    </row>
    <row r="4" spans="2:29" ht="80.099999999999994" customHeight="1" thickBot="1" x14ac:dyDescent="0.4">
      <c r="B4" s="329" t="s">
        <v>631</v>
      </c>
      <c r="C4" s="329" t="s">
        <v>630</v>
      </c>
      <c r="D4" s="699" t="s">
        <v>757</v>
      </c>
      <c r="E4" s="700" t="s">
        <v>759</v>
      </c>
      <c r="F4" s="701" t="s">
        <v>758</v>
      </c>
      <c r="G4" s="551" t="s">
        <v>836</v>
      </c>
      <c r="H4" s="818" t="s">
        <v>783</v>
      </c>
      <c r="I4" s="819" t="s">
        <v>811</v>
      </c>
      <c r="J4" s="190" t="s">
        <v>797</v>
      </c>
      <c r="K4" s="612" t="s">
        <v>852</v>
      </c>
      <c r="L4" s="612" t="s">
        <v>857</v>
      </c>
      <c r="M4" s="1070" t="s">
        <v>780</v>
      </c>
      <c r="N4" s="1079" t="s">
        <v>853</v>
      </c>
      <c r="O4" s="1074" t="s">
        <v>854</v>
      </c>
      <c r="P4" s="612" t="s">
        <v>887</v>
      </c>
      <c r="Q4" s="551" t="s">
        <v>944</v>
      </c>
      <c r="R4" s="1428" t="s">
        <v>981</v>
      </c>
      <c r="S4" s="1428" t="s">
        <v>798</v>
      </c>
      <c r="T4" s="1428" t="s">
        <v>972</v>
      </c>
      <c r="U4" s="1428" t="s">
        <v>962</v>
      </c>
      <c r="V4" s="1441" t="s">
        <v>983</v>
      </c>
      <c r="W4" s="1441" t="s">
        <v>943</v>
      </c>
      <c r="X4" s="1588" t="s">
        <v>1007</v>
      </c>
      <c r="Y4" s="1590" t="s">
        <v>1008</v>
      </c>
      <c r="Z4" s="1588" t="s">
        <v>1115</v>
      </c>
      <c r="AA4" s="830" t="s">
        <v>1076</v>
      </c>
      <c r="AB4" s="1011" t="s">
        <v>798</v>
      </c>
      <c r="AC4" s="1703" t="s">
        <v>1097</v>
      </c>
    </row>
    <row r="5" spans="2:29" ht="20.100000000000001" customHeight="1" thickBot="1" x14ac:dyDescent="0.35">
      <c r="B5" s="1743" t="s">
        <v>53</v>
      </c>
      <c r="C5" s="1744" t="s">
        <v>99</v>
      </c>
      <c r="D5" s="1745">
        <v>108902</v>
      </c>
      <c r="E5" s="1745">
        <v>108902</v>
      </c>
      <c r="F5" s="1745">
        <v>108902</v>
      </c>
      <c r="G5" s="337">
        <v>108902</v>
      </c>
      <c r="H5" s="337">
        <f>D5</f>
        <v>108902</v>
      </c>
      <c r="I5" s="337">
        <f>96335.04-4188.48</f>
        <v>92146.559999999998</v>
      </c>
      <c r="J5" s="337">
        <f>I5-G5</f>
        <v>-16755.440000000002</v>
      </c>
      <c r="K5" s="1108">
        <v>108901</v>
      </c>
      <c r="L5" s="1108">
        <v>108901</v>
      </c>
      <c r="M5" s="1240">
        <f>[7]Sheet1!$D$17</f>
        <v>0</v>
      </c>
      <c r="N5" s="1240">
        <f>K5-M5</f>
        <v>108901</v>
      </c>
      <c r="O5" s="1091">
        <f>M5/K5</f>
        <v>0</v>
      </c>
      <c r="P5" s="1746"/>
      <c r="Q5" s="1240">
        <v>108901</v>
      </c>
      <c r="R5" s="1109">
        <v>107271.52</v>
      </c>
      <c r="S5" s="337">
        <f>Q5-R5</f>
        <v>1629.4799999999959</v>
      </c>
      <c r="T5" s="337">
        <v>111623</v>
      </c>
      <c r="U5" s="1108">
        <v>111623</v>
      </c>
      <c r="V5" s="1747">
        <v>111623</v>
      </c>
      <c r="W5" s="1240">
        <v>111623</v>
      </c>
      <c r="X5" s="1240">
        <f>99288.56-2538.23-500.06+1320+13412.52</f>
        <v>110982.79000000001</v>
      </c>
      <c r="Y5" s="1091">
        <f>X5/W5</f>
        <v>0.99426453329510955</v>
      </c>
      <c r="Z5" s="1748">
        <v>95621</v>
      </c>
      <c r="AA5" s="432">
        <v>95966.19</v>
      </c>
      <c r="AB5" s="432">
        <f>AA5-Z5</f>
        <v>345.19000000000233</v>
      </c>
      <c r="AC5" s="1555">
        <v>102663</v>
      </c>
    </row>
    <row r="6" spans="2:29" ht="20.100000000000001" hidden="1" customHeight="1" x14ac:dyDescent="0.3">
      <c r="B6" s="277" t="s">
        <v>76</v>
      </c>
      <c r="C6" s="259" t="s">
        <v>100</v>
      </c>
      <c r="D6" s="1668"/>
      <c r="E6" s="1749"/>
      <c r="F6" s="1668"/>
      <c r="G6" s="300"/>
      <c r="H6" s="188"/>
      <c r="I6" s="188"/>
      <c r="J6" s="188">
        <f>I6-G6</f>
        <v>0</v>
      </c>
      <c r="K6" s="397"/>
      <c r="L6" s="1535"/>
      <c r="M6" s="964"/>
      <c r="N6" s="433"/>
      <c r="O6" s="1077"/>
      <c r="P6" s="1071"/>
      <c r="Q6" s="433"/>
      <c r="R6" s="1110"/>
      <c r="S6" s="188"/>
      <c r="T6" s="188"/>
      <c r="U6" s="397"/>
      <c r="V6" s="1535"/>
      <c r="W6" s="433"/>
      <c r="X6" s="433"/>
      <c r="Y6" s="1077"/>
      <c r="Z6" s="1218"/>
      <c r="AA6" s="430"/>
      <c r="AB6" s="345"/>
      <c r="AC6" s="1555"/>
    </row>
    <row r="7" spans="2:29" s="500" customFormat="1" ht="20.100000000000001" customHeight="1" thickBot="1" x14ac:dyDescent="0.35">
      <c r="B7" s="499" t="s">
        <v>54</v>
      </c>
      <c r="C7" s="825" t="s">
        <v>101</v>
      </c>
      <c r="D7" s="826">
        <v>208239</v>
      </c>
      <c r="E7" s="1749">
        <v>175118</v>
      </c>
      <c r="F7" s="826">
        <v>208239</v>
      </c>
      <c r="G7" s="920">
        <v>164500</v>
      </c>
      <c r="H7" s="826">
        <f>D7</f>
        <v>208239</v>
      </c>
      <c r="I7" s="826">
        <f>157785+21112</f>
        <v>178897</v>
      </c>
      <c r="J7" s="188">
        <f>I7-G7</f>
        <v>14397</v>
      </c>
      <c r="K7" s="960">
        <f>152565+9744+9744</f>
        <v>172053</v>
      </c>
      <c r="L7" s="1534">
        <f>172053+1305.32</f>
        <v>173358.32</v>
      </c>
      <c r="M7" s="1241">
        <f>[7]Sheet1!$E$17</f>
        <v>159284.902</v>
      </c>
      <c r="N7" s="433">
        <f>L7-M7</f>
        <v>14073.418000000005</v>
      </c>
      <c r="O7" s="1077">
        <f>M7/L7</f>
        <v>0.91881890641302932</v>
      </c>
      <c r="P7" s="1071"/>
      <c r="Q7" s="1241">
        <v>217638</v>
      </c>
      <c r="R7" s="1429">
        <v>159090.12</v>
      </c>
      <c r="S7" s="337">
        <f t="shared" ref="S7:S56" si="0">Q7-R7</f>
        <v>58547.880000000005</v>
      </c>
      <c r="T7" s="826">
        <f>207530-73405</f>
        <v>134125</v>
      </c>
      <c r="U7" s="960">
        <f>207530-73405</f>
        <v>134125</v>
      </c>
      <c r="V7" s="1535">
        <v>134125</v>
      </c>
      <c r="W7" s="433">
        <v>134125</v>
      </c>
      <c r="X7" s="1241">
        <v>132947.99</v>
      </c>
      <c r="Y7" s="1591">
        <f>X7/W7</f>
        <v>0.99122452935694305</v>
      </c>
      <c r="Z7" s="1241">
        <f>134157+3600</f>
        <v>137757</v>
      </c>
      <c r="AA7" s="1659">
        <v>142251.91</v>
      </c>
      <c r="AB7" s="432">
        <f t="shared" ref="AB7:AB13" si="1">AA7-Z7</f>
        <v>4494.9100000000035</v>
      </c>
      <c r="AC7" s="1700">
        <v>130509</v>
      </c>
    </row>
    <row r="8" spans="2:29" ht="20.100000000000001" customHeight="1" thickBot="1" x14ac:dyDescent="0.35">
      <c r="B8" s="277" t="s">
        <v>55</v>
      </c>
      <c r="C8" s="259" t="s">
        <v>102</v>
      </c>
      <c r="D8" s="400">
        <v>2000</v>
      </c>
      <c r="E8" s="400">
        <v>2000</v>
      </c>
      <c r="F8" s="400">
        <v>2000</v>
      </c>
      <c r="G8" s="300">
        <v>1000</v>
      </c>
      <c r="H8" s="188">
        <f>D8</f>
        <v>2000</v>
      </c>
      <c r="I8" s="188">
        <v>1163</v>
      </c>
      <c r="J8" s="188">
        <f t="shared" ref="J8:J56" si="2">I8-G8</f>
        <v>163</v>
      </c>
      <c r="K8" s="397">
        <v>1200</v>
      </c>
      <c r="L8" s="397">
        <v>1200</v>
      </c>
      <c r="M8" s="433">
        <f>[7]Sheet1!$F$17</f>
        <v>1782.4300000000003</v>
      </c>
      <c r="N8" s="433">
        <f t="shared" ref="N8:N55" si="3">K8-M8</f>
        <v>-582.43000000000029</v>
      </c>
      <c r="O8" s="1077">
        <f t="shared" ref="O8:O55" si="4">M8/K8</f>
        <v>1.4853583333333336</v>
      </c>
      <c r="P8" s="1071"/>
      <c r="Q8" s="433">
        <v>1200</v>
      </c>
      <c r="R8" s="1110">
        <v>1091.26</v>
      </c>
      <c r="S8" s="337">
        <f t="shared" si="0"/>
        <v>108.74000000000001</v>
      </c>
      <c r="T8" s="188">
        <v>1200</v>
      </c>
      <c r="U8" s="397">
        <v>1200</v>
      </c>
      <c r="V8" s="1535">
        <v>1200</v>
      </c>
      <c r="W8" s="433">
        <v>1200</v>
      </c>
      <c r="X8" s="433">
        <v>452.36</v>
      </c>
      <c r="Y8" s="1077">
        <f>X8/W8</f>
        <v>0.37696666666666667</v>
      </c>
      <c r="Z8" s="1218">
        <v>1200</v>
      </c>
      <c r="AA8" s="345">
        <v>710.65</v>
      </c>
      <c r="AB8" s="432">
        <f t="shared" si="1"/>
        <v>-489.35</v>
      </c>
      <c r="AC8" s="1555">
        <v>600</v>
      </c>
    </row>
    <row r="9" spans="2:29" s="500" customFormat="1" ht="20.100000000000001" customHeight="1" thickBot="1" x14ac:dyDescent="0.35">
      <c r="B9" s="499" t="s">
        <v>56</v>
      </c>
      <c r="C9" s="825" t="s">
        <v>103</v>
      </c>
      <c r="D9" s="826">
        <v>19767</v>
      </c>
      <c r="E9" s="826">
        <v>17564</v>
      </c>
      <c r="F9" s="826">
        <v>19767</v>
      </c>
      <c r="G9" s="920">
        <v>14190</v>
      </c>
      <c r="H9" s="826">
        <v>20138</v>
      </c>
      <c r="I9" s="826">
        <v>14151</v>
      </c>
      <c r="J9" s="188">
        <f t="shared" si="2"/>
        <v>-39</v>
      </c>
      <c r="K9" s="960">
        <v>15197</v>
      </c>
      <c r="L9" s="960">
        <v>15197</v>
      </c>
      <c r="M9" s="1241">
        <f>[7]Sheet1!$H$17</f>
        <v>12717.782000000001</v>
      </c>
      <c r="N9" s="433">
        <f t="shared" si="3"/>
        <v>2479.2179999999989</v>
      </c>
      <c r="O9" s="1077">
        <f t="shared" si="4"/>
        <v>0.83686135421464769</v>
      </c>
      <c r="P9" s="1071"/>
      <c r="Q9" s="1241">
        <v>15802</v>
      </c>
      <c r="R9" s="1429">
        <v>11331.28</v>
      </c>
      <c r="S9" s="337">
        <f t="shared" si="0"/>
        <v>4470.7199999999993</v>
      </c>
      <c r="T9" s="826">
        <v>20075</v>
      </c>
      <c r="U9" s="960">
        <v>20075</v>
      </c>
      <c r="V9" s="1535">
        <v>20075</v>
      </c>
      <c r="W9" s="433">
        <v>20075</v>
      </c>
      <c r="X9" s="1241">
        <v>20261</v>
      </c>
      <c r="Y9" s="1077">
        <f t="shared" ref="Y9:Y13" si="5">X9/W9</f>
        <v>1.0092652552926527</v>
      </c>
      <c r="Z9" s="1594">
        <v>10825</v>
      </c>
      <c r="AA9" s="1659">
        <v>9161.2999999999993</v>
      </c>
      <c r="AB9" s="432">
        <f t="shared" si="1"/>
        <v>-1663.7000000000007</v>
      </c>
      <c r="AC9" s="1700">
        <v>13183</v>
      </c>
    </row>
    <row r="10" spans="2:29" ht="20.100000000000001" customHeight="1" thickBot="1" x14ac:dyDescent="0.35">
      <c r="B10" s="277" t="s">
        <v>57</v>
      </c>
      <c r="C10" s="259" t="s">
        <v>104</v>
      </c>
      <c r="D10" s="400">
        <v>45000</v>
      </c>
      <c r="E10" s="400">
        <v>45000</v>
      </c>
      <c r="F10" s="400">
        <v>45000</v>
      </c>
      <c r="G10" s="300">
        <v>30774</v>
      </c>
      <c r="H10" s="188">
        <v>46597</v>
      </c>
      <c r="I10" s="188">
        <v>31046</v>
      </c>
      <c r="J10" s="188">
        <f t="shared" si="2"/>
        <v>272</v>
      </c>
      <c r="K10" s="397">
        <v>53760</v>
      </c>
      <c r="L10" s="397">
        <v>53760</v>
      </c>
      <c r="M10" s="433">
        <f>[7]Sheet1!$I$17</f>
        <v>29638.84</v>
      </c>
      <c r="N10" s="433">
        <f t="shared" si="3"/>
        <v>24121.16</v>
      </c>
      <c r="O10" s="1077">
        <f t="shared" si="4"/>
        <v>0.55131770833333338</v>
      </c>
      <c r="P10" s="1071"/>
      <c r="Q10" s="433">
        <v>45108</v>
      </c>
      <c r="R10" s="1110">
        <v>31310</v>
      </c>
      <c r="S10" s="337">
        <f t="shared" si="0"/>
        <v>13798</v>
      </c>
      <c r="T10" s="188">
        <v>56448</v>
      </c>
      <c r="U10" s="397">
        <v>56448</v>
      </c>
      <c r="V10" s="1535">
        <v>56448</v>
      </c>
      <c r="W10" s="433">
        <v>56448</v>
      </c>
      <c r="X10" s="433">
        <v>53760</v>
      </c>
      <c r="Y10" s="1077">
        <f t="shared" si="5"/>
        <v>0.95238095238095233</v>
      </c>
      <c r="Z10" s="1218">
        <v>63648</v>
      </c>
      <c r="AA10" s="345">
        <v>41846.57</v>
      </c>
      <c r="AB10" s="432">
        <f t="shared" si="1"/>
        <v>-21801.43</v>
      </c>
      <c r="AC10" s="1555">
        <v>76500</v>
      </c>
    </row>
    <row r="11" spans="2:29" ht="20.100000000000001" customHeight="1" thickBot="1" x14ac:dyDescent="0.35">
      <c r="B11" s="277" t="s">
        <v>58</v>
      </c>
      <c r="C11" s="259" t="s">
        <v>105</v>
      </c>
      <c r="D11" s="400">
        <v>1291</v>
      </c>
      <c r="E11" s="400">
        <v>1291</v>
      </c>
      <c r="F11" s="400">
        <v>1291</v>
      </c>
      <c r="G11" s="300">
        <v>650</v>
      </c>
      <c r="H11" s="188">
        <f>D11</f>
        <v>1291</v>
      </c>
      <c r="I11" s="188">
        <v>654.46</v>
      </c>
      <c r="J11" s="188">
        <f t="shared" si="2"/>
        <v>4.4600000000000364</v>
      </c>
      <c r="K11" s="397">
        <v>655</v>
      </c>
      <c r="L11" s="397">
        <v>655</v>
      </c>
      <c r="M11" s="433">
        <f>[7]Sheet1!$J$17</f>
        <v>557.09400000000005</v>
      </c>
      <c r="N11" s="433">
        <f t="shared" si="3"/>
        <v>97.905999999999949</v>
      </c>
      <c r="O11" s="1077">
        <f t="shared" si="4"/>
        <v>0.85052519083969469</v>
      </c>
      <c r="P11" s="1071"/>
      <c r="Q11" s="433">
        <v>655</v>
      </c>
      <c r="R11" s="1110">
        <v>605.29</v>
      </c>
      <c r="S11" s="337">
        <f t="shared" si="0"/>
        <v>49.710000000000036</v>
      </c>
      <c r="T11" s="188">
        <v>655</v>
      </c>
      <c r="U11" s="397">
        <v>655</v>
      </c>
      <c r="V11" s="1535">
        <v>655</v>
      </c>
      <c r="W11" s="433">
        <v>655</v>
      </c>
      <c r="X11" s="433">
        <f>508.92+45.27</f>
        <v>554.19000000000005</v>
      </c>
      <c r="Y11" s="1077">
        <f t="shared" si="5"/>
        <v>0.84609160305343523</v>
      </c>
      <c r="Z11" s="1218">
        <v>655</v>
      </c>
      <c r="AA11" s="345">
        <v>510.22</v>
      </c>
      <c r="AB11" s="432">
        <f t="shared" si="1"/>
        <v>-144.77999999999997</v>
      </c>
      <c r="AC11" s="1555">
        <v>550</v>
      </c>
    </row>
    <row r="12" spans="2:29" s="500" customFormat="1" ht="20.100000000000001" customHeight="1" thickBot="1" x14ac:dyDescent="0.35">
      <c r="B12" s="499" t="s">
        <v>59</v>
      </c>
      <c r="C12" s="825" t="s">
        <v>106</v>
      </c>
      <c r="D12" s="826">
        <v>24797</v>
      </c>
      <c r="E12" s="826">
        <v>22262</v>
      </c>
      <c r="F12" s="826">
        <v>24797</v>
      </c>
      <c r="G12" s="920">
        <v>20992</v>
      </c>
      <c r="H12" s="826">
        <f>D12</f>
        <v>24797</v>
      </c>
      <c r="I12" s="826">
        <v>20823.810000000001</v>
      </c>
      <c r="J12" s="188">
        <f t="shared" si="2"/>
        <v>-168.18999999999869</v>
      </c>
      <c r="K12" s="960">
        <v>21891</v>
      </c>
      <c r="L12" s="960">
        <v>21891</v>
      </c>
      <c r="M12" s="1241">
        <f>[7]Sheet1!$K$17</f>
        <v>22381.531999999996</v>
      </c>
      <c r="N12" s="433">
        <f t="shared" si="3"/>
        <v>-490.53199999999561</v>
      </c>
      <c r="O12" s="1077">
        <f t="shared" si="4"/>
        <v>1.0224079301996252</v>
      </c>
      <c r="P12" s="1071"/>
      <c r="Q12" s="1241">
        <v>26985</v>
      </c>
      <c r="R12" s="1429">
        <v>19983.349999999999</v>
      </c>
      <c r="S12" s="337">
        <f t="shared" si="0"/>
        <v>7001.6500000000015</v>
      </c>
      <c r="T12" s="826">
        <v>27000</v>
      </c>
      <c r="U12" s="960">
        <v>27000</v>
      </c>
      <c r="V12" s="1535">
        <v>27000</v>
      </c>
      <c r="W12" s="433">
        <v>27000</v>
      </c>
      <c r="X12" s="1241">
        <v>17930.310000000001</v>
      </c>
      <c r="Y12" s="1077">
        <f t="shared" si="5"/>
        <v>0.6640855555555556</v>
      </c>
      <c r="Z12" s="1594">
        <f>17578+551</f>
        <v>18129</v>
      </c>
      <c r="AA12" s="1659">
        <v>17737.47</v>
      </c>
      <c r="AB12" s="432">
        <f t="shared" si="1"/>
        <v>-391.52999999999884</v>
      </c>
      <c r="AC12" s="1700">
        <v>20431</v>
      </c>
    </row>
    <row r="13" spans="2:29" s="62" customFormat="1" ht="20.100000000000001" customHeight="1" thickBot="1" x14ac:dyDescent="0.35">
      <c r="B13" s="277" t="s">
        <v>204</v>
      </c>
      <c r="C13" s="259" t="s">
        <v>311</v>
      </c>
      <c r="D13" s="824">
        <v>49033</v>
      </c>
      <c r="E13" s="824">
        <v>49033</v>
      </c>
      <c r="F13" s="824">
        <v>49033</v>
      </c>
      <c r="G13" s="300">
        <v>34765</v>
      </c>
      <c r="H13" s="400">
        <v>42824</v>
      </c>
      <c r="I13" s="400">
        <v>34763.57</v>
      </c>
      <c r="J13" s="185">
        <f t="shared" si="2"/>
        <v>-1.430000000000291</v>
      </c>
      <c r="K13" s="397">
        <v>32095</v>
      </c>
      <c r="L13" s="397">
        <v>32095</v>
      </c>
      <c r="M13" s="433">
        <f>[7]Sheet1!$L$17</f>
        <v>34660.04</v>
      </c>
      <c r="N13" s="345">
        <f t="shared" si="3"/>
        <v>-2565.0400000000009</v>
      </c>
      <c r="O13" s="1076">
        <f t="shared" si="4"/>
        <v>1.0799202367970089</v>
      </c>
      <c r="P13" s="1249"/>
      <c r="Q13" s="433">
        <v>31857</v>
      </c>
      <c r="R13" s="1110">
        <v>34403.019999999997</v>
      </c>
      <c r="S13" s="326">
        <f t="shared" si="0"/>
        <v>-2546.0199999999968</v>
      </c>
      <c r="T13" s="188">
        <v>36000</v>
      </c>
      <c r="U13" s="397">
        <v>36000</v>
      </c>
      <c r="V13" s="1128">
        <v>36000</v>
      </c>
      <c r="W13" s="345">
        <v>36000</v>
      </c>
      <c r="X13" s="433">
        <v>32509</v>
      </c>
      <c r="Y13" s="1077">
        <f t="shared" si="5"/>
        <v>0.90302777777777776</v>
      </c>
      <c r="Z13" s="1218">
        <v>32000</v>
      </c>
      <c r="AA13" s="433">
        <f>'[14]Summ by Dept'!$L$17</f>
        <v>31279.31</v>
      </c>
      <c r="AB13" s="432">
        <f t="shared" si="1"/>
        <v>-720.68999999999869</v>
      </c>
      <c r="AC13" s="1555">
        <v>32000</v>
      </c>
    </row>
    <row r="14" spans="2:29" s="62" customFormat="1" ht="20.100000000000001" customHeight="1" thickBot="1" x14ac:dyDescent="0.35">
      <c r="B14" s="277" t="s">
        <v>307</v>
      </c>
      <c r="C14" s="259" t="s">
        <v>308</v>
      </c>
      <c r="D14" s="824">
        <v>3405</v>
      </c>
      <c r="E14" s="824">
        <v>3405</v>
      </c>
      <c r="F14" s="824">
        <v>3405</v>
      </c>
      <c r="G14" s="300">
        <v>4500</v>
      </c>
      <c r="H14" s="400">
        <f>15000-138</f>
        <v>14862</v>
      </c>
      <c r="I14" s="400"/>
      <c r="J14" s="185">
        <f t="shared" si="2"/>
        <v>-4500</v>
      </c>
      <c r="K14" s="397">
        <v>4500</v>
      </c>
      <c r="L14" s="397">
        <v>4500</v>
      </c>
      <c r="M14" s="433">
        <f>[7]Sheet1!$M$17</f>
        <v>47.7</v>
      </c>
      <c r="N14" s="345">
        <f t="shared" si="3"/>
        <v>4452.3</v>
      </c>
      <c r="O14" s="1076">
        <f t="shared" si="4"/>
        <v>1.06E-2</v>
      </c>
      <c r="P14" s="1249"/>
      <c r="Q14" s="433">
        <v>50</v>
      </c>
      <c r="R14" s="1110"/>
      <c r="S14" s="326">
        <f t="shared" si="0"/>
        <v>50</v>
      </c>
      <c r="T14" s="188">
        <v>50</v>
      </c>
      <c r="U14" s="397">
        <v>50</v>
      </c>
      <c r="V14" s="118">
        <v>50</v>
      </c>
      <c r="W14" s="345">
        <v>50</v>
      </c>
      <c r="X14" s="433"/>
      <c r="Y14" s="1077"/>
      <c r="Z14" s="1218"/>
      <c r="AA14" s="964"/>
      <c r="AB14" s="1659">
        <f t="shared" ref="AB14:AB55" si="6">Z14-AA14</f>
        <v>0</v>
      </c>
      <c r="AC14" s="1555"/>
    </row>
    <row r="15" spans="2:29" s="62" customFormat="1" ht="20.100000000000001" customHeight="1" thickBot="1" x14ac:dyDescent="0.35">
      <c r="B15" s="278">
        <v>141</v>
      </c>
      <c r="C15" s="259" t="s">
        <v>684</v>
      </c>
      <c r="D15" s="824">
        <v>300</v>
      </c>
      <c r="E15" s="824">
        <v>300</v>
      </c>
      <c r="F15" s="824">
        <v>300</v>
      </c>
      <c r="G15" s="300"/>
      <c r="H15" s="188"/>
      <c r="I15" s="188"/>
      <c r="J15" s="185">
        <f t="shared" si="2"/>
        <v>0</v>
      </c>
      <c r="K15" s="397"/>
      <c r="L15" s="397"/>
      <c r="M15" s="964"/>
      <c r="N15" s="345">
        <f t="shared" si="3"/>
        <v>0</v>
      </c>
      <c r="O15" s="1076"/>
      <c r="P15" s="1249"/>
      <c r="Q15" s="433"/>
      <c r="R15" s="1110"/>
      <c r="S15" s="326">
        <f t="shared" si="0"/>
        <v>0</v>
      </c>
      <c r="T15" s="188"/>
      <c r="U15" s="397"/>
      <c r="V15" s="1535"/>
      <c r="W15" s="433"/>
      <c r="X15" s="433"/>
      <c r="Y15" s="1077"/>
      <c r="Z15" s="1218"/>
      <c r="AA15" s="964"/>
      <c r="AB15" s="1659">
        <f t="shared" si="6"/>
        <v>0</v>
      </c>
      <c r="AC15" s="1555"/>
    </row>
    <row r="16" spans="2:29" s="62" customFormat="1" ht="20.100000000000001" customHeight="1" thickBot="1" x14ac:dyDescent="0.35">
      <c r="B16" s="277" t="s">
        <v>309</v>
      </c>
      <c r="C16" s="259" t="s">
        <v>743</v>
      </c>
      <c r="D16" s="824">
        <v>0</v>
      </c>
      <c r="E16" s="824">
        <v>0</v>
      </c>
      <c r="F16" s="824">
        <v>0</v>
      </c>
      <c r="G16" s="300"/>
      <c r="H16" s="188"/>
      <c r="I16" s="188">
        <v>120</v>
      </c>
      <c r="J16" s="185">
        <f t="shared" si="2"/>
        <v>120</v>
      </c>
      <c r="K16" s="397"/>
      <c r="L16" s="397"/>
      <c r="M16" s="964"/>
      <c r="N16" s="345">
        <f t="shared" si="3"/>
        <v>0</v>
      </c>
      <c r="O16" s="1076"/>
      <c r="P16" s="1249"/>
      <c r="Q16" s="433"/>
      <c r="R16" s="1110"/>
      <c r="S16" s="326">
        <f t="shared" si="0"/>
        <v>0</v>
      </c>
      <c r="T16" s="188"/>
      <c r="U16" s="397"/>
      <c r="V16" s="1535"/>
      <c r="W16" s="433"/>
      <c r="X16" s="433"/>
      <c r="Y16" s="1077"/>
      <c r="Z16" s="1218"/>
      <c r="AA16" s="964"/>
      <c r="AB16" s="1659">
        <f t="shared" si="6"/>
        <v>0</v>
      </c>
      <c r="AC16" s="1555"/>
    </row>
    <row r="17" spans="2:30" s="62" customFormat="1" ht="20.100000000000001" customHeight="1" thickBot="1" x14ac:dyDescent="0.35">
      <c r="B17" s="277" t="s">
        <v>146</v>
      </c>
      <c r="C17" s="259" t="s">
        <v>119</v>
      </c>
      <c r="D17" s="824">
        <v>50000</v>
      </c>
      <c r="E17" s="824">
        <v>50000</v>
      </c>
      <c r="F17" s="824">
        <v>50000</v>
      </c>
      <c r="G17" s="300">
        <v>50000</v>
      </c>
      <c r="H17" s="400">
        <v>50000</v>
      </c>
      <c r="I17" s="400">
        <v>52209.97</v>
      </c>
      <c r="J17" s="185">
        <f t="shared" si="2"/>
        <v>2209.9700000000012</v>
      </c>
      <c r="K17" s="397">
        <v>28703</v>
      </c>
      <c r="L17" s="397">
        <v>28703</v>
      </c>
      <c r="M17" s="433">
        <f>[7]Sheet1!$R$17</f>
        <v>51733.67</v>
      </c>
      <c r="N17" s="345">
        <f t="shared" si="3"/>
        <v>-23030.67</v>
      </c>
      <c r="O17" s="1076">
        <f t="shared" si="4"/>
        <v>1.8023784970212173</v>
      </c>
      <c r="P17" s="1249"/>
      <c r="Q17" s="433">
        <v>18865</v>
      </c>
      <c r="R17" s="1110">
        <v>31960</v>
      </c>
      <c r="S17" s="326">
        <f t="shared" si="0"/>
        <v>-13095</v>
      </c>
      <c r="T17" s="188">
        <v>30000</v>
      </c>
      <c r="U17" s="397">
        <v>20000</v>
      </c>
      <c r="V17" s="1535">
        <v>10000</v>
      </c>
      <c r="W17" s="433">
        <f>10000-6000</f>
        <v>4000</v>
      </c>
      <c r="X17" s="433">
        <v>24000</v>
      </c>
      <c r="Y17" s="1077">
        <f>X17/W17</f>
        <v>6</v>
      </c>
      <c r="Z17" s="1218">
        <v>20845</v>
      </c>
      <c r="AA17" s="433">
        <f>'[14]Summ by Dept'!$R$17</f>
        <v>25360.19</v>
      </c>
      <c r="AB17" s="432">
        <f t="shared" ref="AB17:AB19" si="7">AA17-Z17</f>
        <v>4515.1899999999987</v>
      </c>
      <c r="AC17" s="1555">
        <v>25000</v>
      </c>
    </row>
    <row r="18" spans="2:30" s="62" customFormat="1" ht="20.100000000000001" customHeight="1" thickBot="1" x14ac:dyDescent="0.35">
      <c r="B18" s="278">
        <v>156</v>
      </c>
      <c r="C18" s="259" t="s">
        <v>581</v>
      </c>
      <c r="D18" s="824">
        <v>400</v>
      </c>
      <c r="E18" s="824">
        <v>400</v>
      </c>
      <c r="F18" s="824">
        <v>400</v>
      </c>
      <c r="G18" s="300">
        <v>50</v>
      </c>
      <c r="H18" s="400">
        <v>100</v>
      </c>
      <c r="I18" s="400">
        <v>203</v>
      </c>
      <c r="J18" s="185">
        <f t="shared" si="2"/>
        <v>153</v>
      </c>
      <c r="K18" s="397">
        <v>200</v>
      </c>
      <c r="L18" s="397">
        <v>200</v>
      </c>
      <c r="M18" s="433">
        <f>[7]Sheet1!$T$17</f>
        <v>91</v>
      </c>
      <c r="N18" s="345">
        <f t="shared" si="3"/>
        <v>109</v>
      </c>
      <c r="O18" s="1076">
        <f t="shared" si="4"/>
        <v>0.45500000000000002</v>
      </c>
      <c r="P18" s="1249"/>
      <c r="Q18" s="433">
        <v>100</v>
      </c>
      <c r="R18" s="1110"/>
      <c r="S18" s="326">
        <f t="shared" si="0"/>
        <v>100</v>
      </c>
      <c r="T18" s="188"/>
      <c r="U18" s="397"/>
      <c r="V18" s="1535"/>
      <c r="W18" s="433"/>
      <c r="X18" s="433"/>
      <c r="Y18" s="1077"/>
      <c r="Z18" s="1218"/>
      <c r="AA18" s="964"/>
      <c r="AB18" s="1659">
        <f t="shared" si="6"/>
        <v>0</v>
      </c>
      <c r="AC18" s="1555"/>
    </row>
    <row r="19" spans="2:30" s="62" customFormat="1" ht="20.100000000000001" customHeight="1" thickBot="1" x14ac:dyDescent="0.35">
      <c r="B19" s="277" t="s">
        <v>510</v>
      </c>
      <c r="C19" s="259" t="s">
        <v>511</v>
      </c>
      <c r="D19" s="824">
        <v>60000</v>
      </c>
      <c r="E19" s="824">
        <v>60000</v>
      </c>
      <c r="F19" s="824">
        <v>60000</v>
      </c>
      <c r="G19" s="300">
        <v>50000</v>
      </c>
      <c r="H19" s="400">
        <v>60000</v>
      </c>
      <c r="I19" s="400">
        <v>84449.12</v>
      </c>
      <c r="J19" s="185">
        <f t="shared" si="2"/>
        <v>34449.119999999995</v>
      </c>
      <c r="K19" s="397">
        <f>50000+10000+2500</f>
        <v>62500</v>
      </c>
      <c r="L19" s="397">
        <f>50000+10000+2500</f>
        <v>62500</v>
      </c>
      <c r="M19" s="433">
        <f>[7]Sheet1!$X$17</f>
        <v>42559.4</v>
      </c>
      <c r="N19" s="345">
        <f t="shared" si="3"/>
        <v>19940.599999999999</v>
      </c>
      <c r="O19" s="1076">
        <f t="shared" si="4"/>
        <v>0.68095040000000007</v>
      </c>
      <c r="P19" s="1249"/>
      <c r="Q19" s="433">
        <v>50000</v>
      </c>
      <c r="R19" s="1110">
        <f>27989.98+7252.5+7517.72+99+6987.75</f>
        <v>49846.95</v>
      </c>
      <c r="S19" s="326">
        <f t="shared" si="0"/>
        <v>153.05000000000291</v>
      </c>
      <c r="T19" s="188">
        <v>50000</v>
      </c>
      <c r="U19" s="397">
        <v>25000</v>
      </c>
      <c r="V19" s="1128">
        <v>25000</v>
      </c>
      <c r="W19" s="345">
        <v>25000</v>
      </c>
      <c r="X19" s="433">
        <v>22106</v>
      </c>
      <c r="Y19" s="1077">
        <f>X19/W19</f>
        <v>0.88424000000000003</v>
      </c>
      <c r="Z19" s="1218">
        <v>30000</v>
      </c>
      <c r="AA19" s="433">
        <f>'[14]Summ by Dept'!$X$17</f>
        <v>42384.9</v>
      </c>
      <c r="AB19" s="432">
        <f t="shared" si="7"/>
        <v>12384.900000000001</v>
      </c>
      <c r="AC19" s="1555">
        <v>75300</v>
      </c>
    </row>
    <row r="20" spans="2:30" s="62" customFormat="1" ht="20.100000000000001" customHeight="1" thickBot="1" x14ac:dyDescent="0.35">
      <c r="B20" s="278">
        <v>164</v>
      </c>
      <c r="C20" s="259" t="s">
        <v>576</v>
      </c>
      <c r="D20" s="824">
        <v>1500</v>
      </c>
      <c r="E20" s="824">
        <v>1500</v>
      </c>
      <c r="F20" s="824">
        <v>1500</v>
      </c>
      <c r="G20" s="300"/>
      <c r="H20" s="400">
        <v>0</v>
      </c>
      <c r="I20" s="400" t="s">
        <v>646</v>
      </c>
      <c r="J20" s="185"/>
      <c r="K20" s="397"/>
      <c r="L20" s="397"/>
      <c r="M20" s="964"/>
      <c r="N20" s="345">
        <f t="shared" si="3"/>
        <v>0</v>
      </c>
      <c r="O20" s="1076"/>
      <c r="P20" s="1249"/>
      <c r="Q20" s="433"/>
      <c r="R20" s="1110"/>
      <c r="S20" s="326">
        <f t="shared" si="0"/>
        <v>0</v>
      </c>
      <c r="T20" s="188"/>
      <c r="U20" s="397"/>
      <c r="V20" s="1535"/>
      <c r="W20" s="433"/>
      <c r="X20" s="433"/>
      <c r="Y20" s="1077"/>
      <c r="Z20" s="1218"/>
      <c r="AA20" s="964"/>
      <c r="AB20" s="1659">
        <f t="shared" si="6"/>
        <v>0</v>
      </c>
      <c r="AC20" s="1555"/>
    </row>
    <row r="21" spans="2:30" s="62" customFormat="1" ht="20.100000000000001" customHeight="1" thickBot="1" x14ac:dyDescent="0.35">
      <c r="B21" s="277" t="s">
        <v>326</v>
      </c>
      <c r="C21" s="259" t="s">
        <v>744</v>
      </c>
      <c r="D21" s="824">
        <v>0</v>
      </c>
      <c r="E21" s="824">
        <v>0</v>
      </c>
      <c r="F21" s="824">
        <v>0</v>
      </c>
      <c r="G21" s="300"/>
      <c r="H21" s="188"/>
      <c r="I21" s="188">
        <v>415</v>
      </c>
      <c r="J21" s="185">
        <f t="shared" si="2"/>
        <v>415</v>
      </c>
      <c r="K21" s="397"/>
      <c r="L21" s="397"/>
      <c r="M21" s="964"/>
      <c r="N21" s="345">
        <f t="shared" si="3"/>
        <v>0</v>
      </c>
      <c r="O21" s="1076"/>
      <c r="P21" s="1249"/>
      <c r="Q21" s="433"/>
      <c r="R21" s="1110"/>
      <c r="S21" s="326">
        <f t="shared" si="0"/>
        <v>0</v>
      </c>
      <c r="T21" s="188"/>
      <c r="U21" s="397"/>
      <c r="V21" s="1535"/>
      <c r="W21" s="433"/>
      <c r="X21" s="433"/>
      <c r="Y21" s="1077"/>
      <c r="Z21" s="1218"/>
      <c r="AA21" s="964"/>
      <c r="AB21" s="1659">
        <f t="shared" si="6"/>
        <v>0</v>
      </c>
      <c r="AC21" s="1555"/>
    </row>
    <row r="22" spans="2:30" s="62" customFormat="1" ht="20.100000000000001" customHeight="1" thickBot="1" x14ac:dyDescent="0.35">
      <c r="B22" s="277" t="s">
        <v>147</v>
      </c>
      <c r="C22" s="259" t="s">
        <v>155</v>
      </c>
      <c r="D22" s="824">
        <v>1500</v>
      </c>
      <c r="E22" s="824">
        <v>1500</v>
      </c>
      <c r="F22" s="824">
        <v>1500</v>
      </c>
      <c r="G22" s="300">
        <v>600</v>
      </c>
      <c r="H22" s="400">
        <v>1500</v>
      </c>
      <c r="I22" s="400"/>
      <c r="J22" s="185">
        <f t="shared" si="2"/>
        <v>-600</v>
      </c>
      <c r="K22" s="397"/>
      <c r="L22" s="397"/>
      <c r="M22" s="433">
        <f>[7]Sheet1!$AC$17</f>
        <v>1901.45</v>
      </c>
      <c r="N22" s="345">
        <f t="shared" si="3"/>
        <v>-1901.45</v>
      </c>
      <c r="O22" s="1076"/>
      <c r="P22" s="1249"/>
      <c r="Q22" s="433"/>
      <c r="R22" s="1110"/>
      <c r="S22" s="326">
        <f t="shared" si="0"/>
        <v>0</v>
      </c>
      <c r="T22" s="188"/>
      <c r="U22" s="397"/>
      <c r="V22" s="1535"/>
      <c r="W22" s="433"/>
      <c r="X22" s="433"/>
      <c r="Y22" s="1077"/>
      <c r="Z22" s="1218"/>
      <c r="AA22" s="964"/>
      <c r="AB22" s="1659">
        <f t="shared" si="6"/>
        <v>0</v>
      </c>
      <c r="AC22" s="1555"/>
    </row>
    <row r="23" spans="2:30" s="62" customFormat="1" ht="20.100000000000001" customHeight="1" thickBot="1" x14ac:dyDescent="0.35">
      <c r="B23" s="277" t="s">
        <v>60</v>
      </c>
      <c r="C23" s="259" t="s">
        <v>740</v>
      </c>
      <c r="D23" s="824">
        <v>11150</v>
      </c>
      <c r="E23" s="824">
        <v>11150</v>
      </c>
      <c r="F23" s="824">
        <v>11150</v>
      </c>
      <c r="G23" s="300">
        <v>7500</v>
      </c>
      <c r="H23" s="400">
        <v>12000</v>
      </c>
      <c r="I23" s="400">
        <v>12040.5</v>
      </c>
      <c r="J23" s="185">
        <f t="shared" si="2"/>
        <v>4540.5</v>
      </c>
      <c r="K23" s="397">
        <v>12350</v>
      </c>
      <c r="L23" s="397">
        <v>12350</v>
      </c>
      <c r="M23" s="433">
        <f>[7]Sheet1!$AD$17</f>
        <v>12467.5</v>
      </c>
      <c r="N23" s="345">
        <f t="shared" si="3"/>
        <v>-117.5</v>
      </c>
      <c r="O23" s="1076">
        <f t="shared" si="4"/>
        <v>1.0095141700404859</v>
      </c>
      <c r="P23" s="1249">
        <v>11720</v>
      </c>
      <c r="Q23" s="433">
        <v>6550</v>
      </c>
      <c r="R23" s="1110">
        <v>6688</v>
      </c>
      <c r="S23" s="326">
        <f t="shared" si="0"/>
        <v>-138</v>
      </c>
      <c r="T23" s="188">
        <v>6000</v>
      </c>
      <c r="U23" s="397">
        <v>6000</v>
      </c>
      <c r="V23" s="1128">
        <v>6000</v>
      </c>
      <c r="W23" s="345">
        <v>6000</v>
      </c>
      <c r="X23" s="433">
        <v>5876</v>
      </c>
      <c r="Y23" s="1077">
        <f>X23/W23</f>
        <v>0.97933333333333328</v>
      </c>
      <c r="Z23" s="1218">
        <f>6000+625</f>
        <v>6625</v>
      </c>
      <c r="AA23" s="433">
        <f>'[14]Summ by Dept'!$AD$17</f>
        <v>7493</v>
      </c>
      <c r="AB23" s="432">
        <f t="shared" ref="AB23:AB27" si="8">AA23-Z23</f>
        <v>868</v>
      </c>
      <c r="AC23" s="1555">
        <v>7493</v>
      </c>
    </row>
    <row r="24" spans="2:30" s="501" customFormat="1" ht="25.15" customHeight="1" thickBot="1" x14ac:dyDescent="0.35">
      <c r="B24" s="499" t="s">
        <v>512</v>
      </c>
      <c r="C24" s="825" t="s">
        <v>513</v>
      </c>
      <c r="D24" s="823">
        <v>30000</v>
      </c>
      <c r="E24" s="823">
        <v>0</v>
      </c>
      <c r="F24" s="823">
        <v>0</v>
      </c>
      <c r="G24" s="920"/>
      <c r="H24" s="826">
        <v>10000</v>
      </c>
      <c r="I24" s="826"/>
      <c r="J24" s="185">
        <f t="shared" si="2"/>
        <v>0</v>
      </c>
      <c r="K24" s="960"/>
      <c r="L24" s="960"/>
      <c r="M24" s="965"/>
      <c r="N24" s="345">
        <f t="shared" si="3"/>
        <v>0</v>
      </c>
      <c r="O24" s="1076"/>
      <c r="P24" s="1249"/>
      <c r="Q24" s="1241"/>
      <c r="R24" s="1429"/>
      <c r="S24" s="326">
        <f t="shared" si="0"/>
        <v>0</v>
      </c>
      <c r="T24" s="826"/>
      <c r="U24" s="960"/>
      <c r="V24" s="1534"/>
      <c r="W24" s="1241"/>
      <c r="X24" s="1241"/>
      <c r="Y24" s="1591"/>
      <c r="Z24" s="1594"/>
      <c r="AA24" s="965"/>
      <c r="AB24" s="1659">
        <f t="shared" si="6"/>
        <v>0</v>
      </c>
      <c r="AC24" s="1700"/>
    </row>
    <row r="25" spans="2:30" s="62" customFormat="1" ht="20.100000000000001" customHeight="1" thickBot="1" x14ac:dyDescent="0.35">
      <c r="B25" s="278">
        <v>182</v>
      </c>
      <c r="C25" s="259" t="s">
        <v>293</v>
      </c>
      <c r="D25" s="824">
        <v>20000</v>
      </c>
      <c r="E25" s="824">
        <v>5000</v>
      </c>
      <c r="F25" s="824">
        <v>5000</v>
      </c>
      <c r="G25" s="300">
        <v>8400</v>
      </c>
      <c r="H25" s="400">
        <v>42500</v>
      </c>
      <c r="I25" s="400">
        <v>7100</v>
      </c>
      <c r="J25" s="185">
        <f t="shared" si="2"/>
        <v>-1300</v>
      </c>
      <c r="K25" s="397">
        <v>8400</v>
      </c>
      <c r="L25" s="397">
        <v>8400</v>
      </c>
      <c r="M25" s="964"/>
      <c r="N25" s="345">
        <f t="shared" si="3"/>
        <v>8400</v>
      </c>
      <c r="O25" s="1076">
        <f t="shared" si="4"/>
        <v>0</v>
      </c>
      <c r="P25" s="1249">
        <f>8400+4200</f>
        <v>12600</v>
      </c>
      <c r="Q25" s="433">
        <v>8400</v>
      </c>
      <c r="R25" s="1110">
        <v>7252.5</v>
      </c>
      <c r="S25" s="326">
        <f t="shared" si="0"/>
        <v>1147.5</v>
      </c>
      <c r="T25" s="188">
        <v>7500</v>
      </c>
      <c r="U25" s="397">
        <v>5000</v>
      </c>
      <c r="V25" s="1128">
        <v>5000</v>
      </c>
      <c r="W25" s="345">
        <v>5000</v>
      </c>
      <c r="X25" s="433">
        <v>2100</v>
      </c>
      <c r="Y25" s="1077">
        <f>X25/W25</f>
        <v>0.42</v>
      </c>
      <c r="Z25" s="1218">
        <v>8400</v>
      </c>
      <c r="AA25" s="433">
        <f>'[14]Summ by Dept'!$AK$17</f>
        <v>54877.02</v>
      </c>
      <c r="AB25" s="432">
        <f t="shared" si="8"/>
        <v>46477.02</v>
      </c>
      <c r="AC25" s="1555">
        <f>8400+30000+10000</f>
        <v>48400</v>
      </c>
      <c r="AD25" s="62" t="s">
        <v>423</v>
      </c>
    </row>
    <row r="26" spans="2:30" s="62" customFormat="1" ht="20.100000000000001" customHeight="1" thickBot="1" x14ac:dyDescent="0.35">
      <c r="B26" s="277" t="s">
        <v>166</v>
      </c>
      <c r="C26" s="257" t="s">
        <v>982</v>
      </c>
      <c r="D26" s="824">
        <v>5000</v>
      </c>
      <c r="E26" s="824">
        <v>5000</v>
      </c>
      <c r="F26" s="824">
        <v>5000</v>
      </c>
      <c r="G26" s="300">
        <v>4230</v>
      </c>
      <c r="H26" s="400">
        <v>5000</v>
      </c>
      <c r="I26" s="400">
        <v>3779.5</v>
      </c>
      <c r="J26" s="185">
        <f t="shared" si="2"/>
        <v>-450.5</v>
      </c>
      <c r="K26" s="397">
        <v>4000</v>
      </c>
      <c r="L26" s="397">
        <v>4000</v>
      </c>
      <c r="M26" s="433">
        <f>[7]Sheet1!$AM$17</f>
        <v>0</v>
      </c>
      <c r="N26" s="345">
        <f t="shared" si="3"/>
        <v>4000</v>
      </c>
      <c r="O26" s="1076">
        <f t="shared" si="4"/>
        <v>0</v>
      </c>
      <c r="P26" s="1249">
        <v>6000</v>
      </c>
      <c r="Q26" s="433">
        <v>21000</v>
      </c>
      <c r="R26" s="1110"/>
      <c r="S26" s="326">
        <f t="shared" si="0"/>
        <v>21000</v>
      </c>
      <c r="T26" s="188">
        <v>21000</v>
      </c>
      <c r="U26" s="397">
        <v>12828</v>
      </c>
      <c r="V26" s="1128">
        <v>12828</v>
      </c>
      <c r="W26" s="345">
        <v>12828</v>
      </c>
      <c r="X26" s="433">
        <v>12000</v>
      </c>
      <c r="Y26" s="1077">
        <f>X26/W26</f>
        <v>0.93545369504209541</v>
      </c>
      <c r="Z26" s="1218">
        <f>30000+8000+4169</f>
        <v>42169</v>
      </c>
      <c r="AA26" s="433">
        <f>'[14]Summ by Dept'!$AM$17</f>
        <v>2238.87</v>
      </c>
      <c r="AB26" s="432">
        <f t="shared" si="8"/>
        <v>-39930.129999999997</v>
      </c>
      <c r="AC26" s="1555">
        <v>15000</v>
      </c>
    </row>
    <row r="27" spans="2:30" s="62" customFormat="1" ht="20.100000000000001" customHeight="1" thickBot="1" x14ac:dyDescent="0.35">
      <c r="B27" s="277" t="s">
        <v>61</v>
      </c>
      <c r="C27" s="259" t="s">
        <v>107</v>
      </c>
      <c r="D27" s="824">
        <v>15000</v>
      </c>
      <c r="E27" s="824">
        <v>15000</v>
      </c>
      <c r="F27" s="824">
        <v>15000</v>
      </c>
      <c r="G27" s="300">
        <v>6500</v>
      </c>
      <c r="H27" s="400">
        <v>15000</v>
      </c>
      <c r="I27" s="400">
        <v>7652.04</v>
      </c>
      <c r="J27" s="185">
        <f t="shared" si="2"/>
        <v>1152.04</v>
      </c>
      <c r="K27" s="397">
        <v>7000</v>
      </c>
      <c r="L27" s="397">
        <v>7000</v>
      </c>
      <c r="M27" s="433">
        <f>[7]Sheet1!$AS$17</f>
        <v>5830.41</v>
      </c>
      <c r="N27" s="345">
        <f t="shared" si="3"/>
        <v>1169.5900000000001</v>
      </c>
      <c r="O27" s="1076">
        <f t="shared" si="4"/>
        <v>0.83291571428571431</v>
      </c>
      <c r="P27" s="1249"/>
      <c r="Q27" s="433">
        <v>6500</v>
      </c>
      <c r="R27" s="1110">
        <f>5494.03+248.74</f>
        <v>5742.7699999999995</v>
      </c>
      <c r="S27" s="326">
        <f t="shared" si="0"/>
        <v>757.23000000000047</v>
      </c>
      <c r="T27" s="188">
        <v>6500</v>
      </c>
      <c r="U27" s="397">
        <v>6500</v>
      </c>
      <c r="V27" s="1128">
        <v>6500</v>
      </c>
      <c r="W27" s="345">
        <v>6500</v>
      </c>
      <c r="X27" s="433">
        <f>3981+2500</f>
        <v>6481</v>
      </c>
      <c r="Y27" s="1077">
        <f>X27/W27</f>
        <v>0.99707692307692308</v>
      </c>
      <c r="Z27" s="1218">
        <v>6500</v>
      </c>
      <c r="AA27" s="433">
        <f>'[14]Summ by Dept'!$AS$17</f>
        <v>7557.1900000000005</v>
      </c>
      <c r="AB27" s="432">
        <f t="shared" si="8"/>
        <v>1057.1900000000005</v>
      </c>
      <c r="AC27" s="1555">
        <v>6500</v>
      </c>
    </row>
    <row r="28" spans="2:30" s="62" customFormat="1" ht="20.100000000000001" customHeight="1" thickBot="1" x14ac:dyDescent="0.35">
      <c r="B28" s="277" t="s">
        <v>84</v>
      </c>
      <c r="C28" s="259" t="s">
        <v>328</v>
      </c>
      <c r="D28" s="824">
        <v>100</v>
      </c>
      <c r="E28" s="824">
        <v>100</v>
      </c>
      <c r="F28" s="824">
        <v>100</v>
      </c>
      <c r="G28" s="300"/>
      <c r="H28" s="400">
        <v>100</v>
      </c>
      <c r="I28" s="400"/>
      <c r="J28" s="185">
        <f t="shared" si="2"/>
        <v>0</v>
      </c>
      <c r="K28" s="397"/>
      <c r="L28" s="397"/>
      <c r="M28" s="964"/>
      <c r="N28" s="345">
        <f t="shared" si="3"/>
        <v>0</v>
      </c>
      <c r="O28" s="1076"/>
      <c r="P28" s="1249"/>
      <c r="Q28" s="433"/>
      <c r="R28" s="1110"/>
      <c r="S28" s="326">
        <f t="shared" si="0"/>
        <v>0</v>
      </c>
      <c r="T28" s="188"/>
      <c r="U28" s="397"/>
      <c r="V28" s="1535"/>
      <c r="W28" s="433"/>
      <c r="X28" s="433"/>
      <c r="Y28" s="1077"/>
      <c r="Z28" s="1218"/>
      <c r="AA28" s="964"/>
      <c r="AB28" s="1659">
        <f t="shared" si="6"/>
        <v>0</v>
      </c>
      <c r="AC28" s="1555"/>
    </row>
    <row r="29" spans="2:30" s="62" customFormat="1" ht="20.100000000000001" customHeight="1" thickBot="1" x14ac:dyDescent="0.35">
      <c r="B29" s="277" t="s">
        <v>88</v>
      </c>
      <c r="C29" s="259" t="s">
        <v>313</v>
      </c>
      <c r="D29" s="824">
        <v>0</v>
      </c>
      <c r="E29" s="824">
        <v>0</v>
      </c>
      <c r="F29" s="824">
        <v>0</v>
      </c>
      <c r="G29" s="300"/>
      <c r="H29" s="188"/>
      <c r="I29" s="188"/>
      <c r="J29" s="185">
        <f t="shared" si="2"/>
        <v>0</v>
      </c>
      <c r="K29" s="397"/>
      <c r="L29" s="397"/>
      <c r="M29" s="964"/>
      <c r="N29" s="345">
        <f t="shared" si="3"/>
        <v>0</v>
      </c>
      <c r="O29" s="1076"/>
      <c r="P29" s="1249"/>
      <c r="Q29" s="433"/>
      <c r="R29" s="1110"/>
      <c r="S29" s="326">
        <f t="shared" si="0"/>
        <v>0</v>
      </c>
      <c r="T29" s="188"/>
      <c r="U29" s="397"/>
      <c r="V29" s="1535"/>
      <c r="W29" s="433"/>
      <c r="X29" s="433"/>
      <c r="Y29" s="1077"/>
      <c r="Z29" s="1218"/>
      <c r="AA29" s="964"/>
      <c r="AB29" s="1659">
        <f t="shared" si="6"/>
        <v>0</v>
      </c>
      <c r="AC29" s="1555"/>
    </row>
    <row r="30" spans="2:30" s="62" customFormat="1" ht="20.100000000000001" customHeight="1" thickBot="1" x14ac:dyDescent="0.35">
      <c r="B30" s="277" t="s">
        <v>62</v>
      </c>
      <c r="C30" s="259" t="s">
        <v>108</v>
      </c>
      <c r="D30" s="824">
        <v>3000</v>
      </c>
      <c r="E30" s="824">
        <v>3000</v>
      </c>
      <c r="F30" s="824">
        <v>3000</v>
      </c>
      <c r="G30" s="300">
        <v>0</v>
      </c>
      <c r="H30" s="400">
        <v>3000</v>
      </c>
      <c r="I30" s="400">
        <v>1288.67</v>
      </c>
      <c r="J30" s="185">
        <f t="shared" si="2"/>
        <v>1288.67</v>
      </c>
      <c r="K30" s="397">
        <v>1000</v>
      </c>
      <c r="L30" s="397">
        <v>1000</v>
      </c>
      <c r="M30" s="433">
        <f>[7]Sheet1!$AZ$17</f>
        <v>1115.69</v>
      </c>
      <c r="N30" s="345">
        <f t="shared" si="3"/>
        <v>-115.69000000000005</v>
      </c>
      <c r="O30" s="1076">
        <f t="shared" si="4"/>
        <v>1.1156900000000001</v>
      </c>
      <c r="P30" s="1249"/>
      <c r="Q30" s="433">
        <v>1000</v>
      </c>
      <c r="R30" s="1110">
        <v>3774.31</v>
      </c>
      <c r="S30" s="326">
        <f t="shared" si="0"/>
        <v>-2774.31</v>
      </c>
      <c r="T30" s="188">
        <v>1000</v>
      </c>
      <c r="U30" s="397">
        <v>1000</v>
      </c>
      <c r="V30" s="1128">
        <v>1000</v>
      </c>
      <c r="W30" s="345">
        <v>1000</v>
      </c>
      <c r="X30" s="433">
        <v>262</v>
      </c>
      <c r="Y30" s="1077">
        <f>X30/W30</f>
        <v>0.26200000000000001</v>
      </c>
      <c r="Z30" s="1218">
        <v>1000</v>
      </c>
      <c r="AA30" s="433">
        <f>'[14]Summ by Dept'!$AZ$17</f>
        <v>2630.61</v>
      </c>
      <c r="AB30" s="432">
        <f t="shared" ref="AB30:AB31" si="9">AA30-Z30</f>
        <v>1630.6100000000001</v>
      </c>
      <c r="AC30" s="1555">
        <v>2500</v>
      </c>
    </row>
    <row r="31" spans="2:30" s="62" customFormat="1" ht="20.100000000000001" customHeight="1" thickBot="1" x14ac:dyDescent="0.35">
      <c r="B31" s="277" t="s">
        <v>314</v>
      </c>
      <c r="C31" s="259" t="s">
        <v>109</v>
      </c>
      <c r="D31" s="824">
        <v>2000</v>
      </c>
      <c r="E31" s="824">
        <v>2000</v>
      </c>
      <c r="F31" s="824">
        <v>2000</v>
      </c>
      <c r="G31" s="300">
        <v>2000</v>
      </c>
      <c r="H31" s="400">
        <v>2000</v>
      </c>
      <c r="I31" s="400">
        <f>2166.05+154.8</f>
        <v>2320.8500000000004</v>
      </c>
      <c r="J31" s="185">
        <f t="shared" si="2"/>
        <v>320.85000000000036</v>
      </c>
      <c r="K31" s="397">
        <v>1900</v>
      </c>
      <c r="L31" s="397">
        <v>1900</v>
      </c>
      <c r="M31" s="433">
        <f>[7]Sheet1!$BA$17</f>
        <v>2445.58</v>
      </c>
      <c r="N31" s="345">
        <f t="shared" si="3"/>
        <v>-545.57999999999993</v>
      </c>
      <c r="O31" s="1076">
        <f t="shared" si="4"/>
        <v>1.2871473684210526</v>
      </c>
      <c r="P31" s="1249"/>
      <c r="Q31" s="433">
        <v>1800</v>
      </c>
      <c r="R31" s="1110">
        <v>1798.22</v>
      </c>
      <c r="S31" s="326">
        <f t="shared" si="0"/>
        <v>1.7799999999999727</v>
      </c>
      <c r="T31" s="188">
        <v>1800</v>
      </c>
      <c r="U31" s="397">
        <v>1800</v>
      </c>
      <c r="V31" s="1128">
        <v>1800</v>
      </c>
      <c r="W31" s="345">
        <v>1800</v>
      </c>
      <c r="X31" s="433">
        <v>1800</v>
      </c>
      <c r="Y31" s="1077">
        <f>X31/W31</f>
        <v>1</v>
      </c>
      <c r="Z31" s="1218">
        <v>1800</v>
      </c>
      <c r="AA31" s="433">
        <f>'[14]Summ by Dept'!$BA$17</f>
        <v>1590.8399999999997</v>
      </c>
      <c r="AB31" s="432">
        <f t="shared" si="9"/>
        <v>-209.16000000000031</v>
      </c>
      <c r="AC31" s="1555">
        <v>1600</v>
      </c>
    </row>
    <row r="32" spans="2:30" s="62" customFormat="1" ht="20.100000000000001" customHeight="1" thickBot="1" x14ac:dyDescent="0.35">
      <c r="B32" s="278">
        <v>221</v>
      </c>
      <c r="C32" s="259" t="s">
        <v>730</v>
      </c>
      <c r="D32" s="824">
        <v>0</v>
      </c>
      <c r="E32" s="824">
        <v>0</v>
      </c>
      <c r="F32" s="824">
        <v>0</v>
      </c>
      <c r="G32" s="300"/>
      <c r="H32" s="188"/>
      <c r="I32" s="188"/>
      <c r="J32" s="185">
        <f t="shared" si="2"/>
        <v>0</v>
      </c>
      <c r="K32" s="397"/>
      <c r="L32" s="397"/>
      <c r="M32" s="964"/>
      <c r="N32" s="345">
        <f t="shared" si="3"/>
        <v>0</v>
      </c>
      <c r="O32" s="1076"/>
      <c r="P32" s="1249"/>
      <c r="Q32" s="433"/>
      <c r="R32" s="1110"/>
      <c r="S32" s="326">
        <f t="shared" si="0"/>
        <v>0</v>
      </c>
      <c r="T32" s="188"/>
      <c r="U32" s="397"/>
      <c r="V32" s="1535"/>
      <c r="W32" s="433"/>
      <c r="X32" s="433"/>
      <c r="Y32" s="1077"/>
      <c r="Z32" s="1218"/>
      <c r="AA32" s="964"/>
      <c r="AB32" s="1659">
        <f t="shared" si="6"/>
        <v>0</v>
      </c>
      <c r="AC32" s="1555"/>
    </row>
    <row r="33" spans="2:29" s="62" customFormat="1" ht="20.100000000000001" customHeight="1" thickBot="1" x14ac:dyDescent="0.35">
      <c r="B33" s="277" t="s">
        <v>93</v>
      </c>
      <c r="C33" s="259" t="s">
        <v>110</v>
      </c>
      <c r="D33" s="824">
        <v>498</v>
      </c>
      <c r="E33" s="824">
        <v>500</v>
      </c>
      <c r="F33" s="824">
        <v>500</v>
      </c>
      <c r="G33" s="300"/>
      <c r="H33" s="400">
        <v>132</v>
      </c>
      <c r="I33" s="400"/>
      <c r="J33" s="185">
        <f t="shared" si="2"/>
        <v>0</v>
      </c>
      <c r="K33" s="397"/>
      <c r="L33" s="397"/>
      <c r="M33" s="964"/>
      <c r="N33" s="345">
        <f t="shared" si="3"/>
        <v>0</v>
      </c>
      <c r="O33" s="1076"/>
      <c r="P33" s="1249"/>
      <c r="Q33" s="433"/>
      <c r="R33" s="1110"/>
      <c r="S33" s="326">
        <f t="shared" si="0"/>
        <v>0</v>
      </c>
      <c r="T33" s="188"/>
      <c r="U33" s="397"/>
      <c r="V33" s="1535"/>
      <c r="W33" s="433"/>
      <c r="X33" s="433"/>
      <c r="Y33" s="1077"/>
      <c r="Z33" s="1218"/>
      <c r="AA33" s="964"/>
      <c r="AB33" s="1659">
        <f t="shared" si="6"/>
        <v>0</v>
      </c>
      <c r="AC33" s="1555"/>
    </row>
    <row r="34" spans="2:29" s="62" customFormat="1" ht="20.100000000000001" customHeight="1" thickBot="1" x14ac:dyDescent="0.35">
      <c r="B34" s="277" t="s">
        <v>89</v>
      </c>
      <c r="C34" s="259" t="s">
        <v>745</v>
      </c>
      <c r="D34" s="824">
        <v>0</v>
      </c>
      <c r="E34" s="824">
        <v>0</v>
      </c>
      <c r="F34" s="824">
        <v>0</v>
      </c>
      <c r="G34" s="300"/>
      <c r="H34" s="188"/>
      <c r="I34" s="188"/>
      <c r="J34" s="185">
        <f t="shared" si="2"/>
        <v>0</v>
      </c>
      <c r="K34" s="397"/>
      <c r="L34" s="397"/>
      <c r="M34" s="964"/>
      <c r="N34" s="345">
        <f t="shared" si="3"/>
        <v>0</v>
      </c>
      <c r="O34" s="1076"/>
      <c r="P34" s="1249"/>
      <c r="Q34" s="433"/>
      <c r="R34" s="1110"/>
      <c r="S34" s="326">
        <f t="shared" si="0"/>
        <v>0</v>
      </c>
      <c r="T34" s="188"/>
      <c r="U34" s="397"/>
      <c r="V34" s="1535"/>
      <c r="W34" s="433"/>
      <c r="X34" s="433"/>
      <c r="Y34" s="1077"/>
      <c r="Z34" s="1218"/>
      <c r="AA34" s="433">
        <f>'[14]Summ by Dept'!$BD$17</f>
        <v>22417.260000000002</v>
      </c>
      <c r="AB34" s="432">
        <f t="shared" ref="AB34" si="10">AA34-Z34</f>
        <v>22417.260000000002</v>
      </c>
      <c r="AC34" s="1555"/>
    </row>
    <row r="35" spans="2:29" s="62" customFormat="1" ht="20.100000000000001" customHeight="1" thickBot="1" x14ac:dyDescent="0.35">
      <c r="B35" s="277" t="s">
        <v>63</v>
      </c>
      <c r="C35" s="259" t="s">
        <v>121</v>
      </c>
      <c r="D35" s="824">
        <v>200</v>
      </c>
      <c r="E35" s="824">
        <v>200</v>
      </c>
      <c r="F35" s="824">
        <v>200</v>
      </c>
      <c r="G35" s="300"/>
      <c r="H35" s="400">
        <v>200</v>
      </c>
      <c r="I35" s="400"/>
      <c r="J35" s="185">
        <f t="shared" si="2"/>
        <v>0</v>
      </c>
      <c r="K35" s="397"/>
      <c r="L35" s="397"/>
      <c r="M35" s="964"/>
      <c r="N35" s="345">
        <f t="shared" si="3"/>
        <v>0</v>
      </c>
      <c r="O35" s="1076"/>
      <c r="P35" s="1249"/>
      <c r="Q35" s="433"/>
      <c r="R35" s="1110"/>
      <c r="S35" s="326">
        <f t="shared" si="0"/>
        <v>0</v>
      </c>
      <c r="T35" s="188"/>
      <c r="U35" s="397"/>
      <c r="V35" s="1535"/>
      <c r="W35" s="433"/>
      <c r="X35" s="433"/>
      <c r="Y35" s="1077"/>
      <c r="Z35" s="1218"/>
      <c r="AA35" s="964"/>
      <c r="AB35" s="1659">
        <f t="shared" si="6"/>
        <v>0</v>
      </c>
      <c r="AC35" s="1555"/>
    </row>
    <row r="36" spans="2:29" s="62" customFormat="1" ht="20.100000000000001" customHeight="1" thickBot="1" x14ac:dyDescent="0.35">
      <c r="B36" s="277" t="s">
        <v>80</v>
      </c>
      <c r="C36" s="259" t="s">
        <v>324</v>
      </c>
      <c r="D36" s="824">
        <v>200</v>
      </c>
      <c r="E36" s="824">
        <v>200</v>
      </c>
      <c r="F36" s="824">
        <v>200</v>
      </c>
      <c r="G36" s="300"/>
      <c r="H36" s="400">
        <v>200</v>
      </c>
      <c r="I36" s="400"/>
      <c r="J36" s="185">
        <f t="shared" si="2"/>
        <v>0</v>
      </c>
      <c r="K36" s="397"/>
      <c r="L36" s="397"/>
      <c r="M36" s="964"/>
      <c r="N36" s="345">
        <f t="shared" si="3"/>
        <v>0</v>
      </c>
      <c r="O36" s="1076"/>
      <c r="P36" s="1249"/>
      <c r="Q36" s="433"/>
      <c r="R36" s="1110"/>
      <c r="S36" s="326">
        <f t="shared" si="0"/>
        <v>0</v>
      </c>
      <c r="T36" s="188"/>
      <c r="U36" s="397"/>
      <c r="V36" s="1535"/>
      <c r="W36" s="433"/>
      <c r="X36" s="433"/>
      <c r="Y36" s="1077"/>
      <c r="Z36" s="1218"/>
      <c r="AA36" s="964"/>
      <c r="AB36" s="1659">
        <f t="shared" si="6"/>
        <v>0</v>
      </c>
      <c r="AC36" s="1555"/>
    </row>
    <row r="37" spans="2:29" s="62" customFormat="1" ht="20.100000000000001" customHeight="1" thickBot="1" x14ac:dyDescent="0.35">
      <c r="B37" s="277" t="s">
        <v>64</v>
      </c>
      <c r="C37" s="259" t="s">
        <v>122</v>
      </c>
      <c r="D37" s="824">
        <v>500</v>
      </c>
      <c r="E37" s="824">
        <v>2500</v>
      </c>
      <c r="F37" s="824">
        <v>2500</v>
      </c>
      <c r="G37" s="300"/>
      <c r="H37" s="400">
        <v>500</v>
      </c>
      <c r="I37" s="400"/>
      <c r="J37" s="185">
        <f t="shared" si="2"/>
        <v>0</v>
      </c>
      <c r="K37" s="397"/>
      <c r="L37" s="397"/>
      <c r="M37" s="964"/>
      <c r="N37" s="345">
        <f t="shared" si="3"/>
        <v>0</v>
      </c>
      <c r="O37" s="1076"/>
      <c r="P37" s="1249"/>
      <c r="Q37" s="433"/>
      <c r="R37" s="1110"/>
      <c r="S37" s="326">
        <f t="shared" si="0"/>
        <v>0</v>
      </c>
      <c r="T37" s="188"/>
      <c r="U37" s="397"/>
      <c r="V37" s="1535"/>
      <c r="W37" s="433"/>
      <c r="X37" s="433"/>
      <c r="Y37" s="1077"/>
      <c r="Z37" s="1218"/>
      <c r="AA37" s="964"/>
      <c r="AB37" s="1659">
        <f t="shared" si="6"/>
        <v>0</v>
      </c>
      <c r="AC37" s="1555"/>
    </row>
    <row r="38" spans="2:29" s="62" customFormat="1" ht="20.100000000000001" customHeight="1" thickBot="1" x14ac:dyDescent="0.35">
      <c r="B38" s="277" t="s">
        <v>304</v>
      </c>
      <c r="C38" s="259" t="s">
        <v>742</v>
      </c>
      <c r="D38" s="824">
        <v>0</v>
      </c>
      <c r="E38" s="824">
        <v>0</v>
      </c>
      <c r="F38" s="824">
        <v>0</v>
      </c>
      <c r="G38" s="300"/>
      <c r="H38" s="188"/>
      <c r="I38" s="188"/>
      <c r="J38" s="185">
        <f t="shared" si="2"/>
        <v>0</v>
      </c>
      <c r="K38" s="397"/>
      <c r="L38" s="397"/>
      <c r="M38" s="964"/>
      <c r="N38" s="345">
        <f t="shared" si="3"/>
        <v>0</v>
      </c>
      <c r="O38" s="1076"/>
      <c r="P38" s="1249"/>
      <c r="Q38" s="433"/>
      <c r="R38" s="1110"/>
      <c r="S38" s="326">
        <f t="shared" si="0"/>
        <v>0</v>
      </c>
      <c r="T38" s="188"/>
      <c r="U38" s="397"/>
      <c r="V38" s="1535"/>
      <c r="W38" s="433"/>
      <c r="X38" s="433"/>
      <c r="Y38" s="1077"/>
      <c r="Z38" s="1218"/>
      <c r="AA38" s="964"/>
      <c r="AB38" s="1659">
        <f t="shared" si="6"/>
        <v>0</v>
      </c>
      <c r="AC38" s="1555"/>
    </row>
    <row r="39" spans="2:29" s="62" customFormat="1" ht="20.100000000000001" customHeight="1" thickBot="1" x14ac:dyDescent="0.35">
      <c r="B39" s="278">
        <v>250</v>
      </c>
      <c r="C39" s="259" t="s">
        <v>650</v>
      </c>
      <c r="D39" s="824">
        <v>400</v>
      </c>
      <c r="E39" s="824">
        <v>400</v>
      </c>
      <c r="F39" s="824">
        <v>400</v>
      </c>
      <c r="G39" s="300">
        <v>400</v>
      </c>
      <c r="H39" s="400">
        <v>400</v>
      </c>
      <c r="I39" s="400">
        <v>1814.52</v>
      </c>
      <c r="J39" s="185">
        <f t="shared" si="2"/>
        <v>1414.52</v>
      </c>
      <c r="K39" s="397">
        <v>2000</v>
      </c>
      <c r="L39" s="397">
        <v>2000</v>
      </c>
      <c r="M39" s="433">
        <f>[7]Sheet1!$BM$17</f>
        <v>4022.29</v>
      </c>
      <c r="N39" s="345">
        <f t="shared" si="3"/>
        <v>-2022.29</v>
      </c>
      <c r="O39" s="1076">
        <f t="shared" si="4"/>
        <v>2.011145</v>
      </c>
      <c r="P39" s="1249"/>
      <c r="Q39" s="433">
        <v>2500</v>
      </c>
      <c r="R39" s="1110">
        <v>2691.94</v>
      </c>
      <c r="S39" s="326">
        <f t="shared" si="0"/>
        <v>-191.94000000000005</v>
      </c>
      <c r="T39" s="188">
        <v>2500</v>
      </c>
      <c r="U39" s="397">
        <v>2500</v>
      </c>
      <c r="V39" s="1128">
        <v>2500</v>
      </c>
      <c r="W39" s="345">
        <v>2500</v>
      </c>
      <c r="X39" s="433">
        <v>1440</v>
      </c>
      <c r="Y39" s="1077">
        <f>X39/W39</f>
        <v>0.57599999999999996</v>
      </c>
      <c r="Z39" s="1218">
        <v>2000</v>
      </c>
      <c r="AA39" s="433">
        <f>'[14]Summ by Dept'!$BM$17</f>
        <v>380.31</v>
      </c>
      <c r="AB39" s="432">
        <f t="shared" ref="AB39:AB52" si="11">AA39-Z39</f>
        <v>-1619.69</v>
      </c>
      <c r="AC39" s="1555">
        <v>380</v>
      </c>
    </row>
    <row r="40" spans="2:29" s="62" customFormat="1" ht="20.100000000000001" customHeight="1" thickBot="1" x14ac:dyDescent="0.35">
      <c r="B40" s="277" t="s">
        <v>66</v>
      </c>
      <c r="C40" s="259" t="s">
        <v>98</v>
      </c>
      <c r="D40" s="824">
        <v>18000</v>
      </c>
      <c r="E40" s="824">
        <v>18000</v>
      </c>
      <c r="F40" s="824">
        <v>18000</v>
      </c>
      <c r="G40" s="300">
        <v>18000</v>
      </c>
      <c r="H40" s="400">
        <v>18000</v>
      </c>
      <c r="I40" s="400">
        <v>14961.65</v>
      </c>
      <c r="J40" s="185">
        <f t="shared" si="2"/>
        <v>-3038.3500000000004</v>
      </c>
      <c r="K40" s="397">
        <v>18000</v>
      </c>
      <c r="L40" s="397">
        <v>18000</v>
      </c>
      <c r="M40" s="433">
        <f>[7]Sheet1!$BN$17</f>
        <v>18948.530000000002</v>
      </c>
      <c r="N40" s="345">
        <f t="shared" si="3"/>
        <v>-948.53000000000247</v>
      </c>
      <c r="O40" s="1076">
        <f t="shared" si="4"/>
        <v>1.0526961111111113</v>
      </c>
      <c r="P40" s="1249"/>
      <c r="Q40" s="433">
        <v>15000</v>
      </c>
      <c r="R40" s="1110">
        <v>9709.82</v>
      </c>
      <c r="S40" s="326">
        <f t="shared" si="0"/>
        <v>5290.18</v>
      </c>
      <c r="T40" s="188">
        <v>7500</v>
      </c>
      <c r="U40" s="397">
        <v>7500</v>
      </c>
      <c r="V40" s="1128">
        <v>7500</v>
      </c>
      <c r="W40" s="345">
        <v>7500</v>
      </c>
      <c r="X40" s="433">
        <v>7750</v>
      </c>
      <c r="Y40" s="1077">
        <f t="shared" ref="Y40:Y47" si="12">X40/W40</f>
        <v>1.0333333333333334</v>
      </c>
      <c r="Z40" s="1218">
        <v>8000</v>
      </c>
      <c r="AA40" s="433">
        <f>'[14]Summ by Dept'!$BN$17</f>
        <v>19062.379999999997</v>
      </c>
      <c r="AB40" s="432">
        <f t="shared" si="11"/>
        <v>11062.379999999997</v>
      </c>
      <c r="AC40" s="1555">
        <v>19062</v>
      </c>
    </row>
    <row r="41" spans="2:29" s="62" customFormat="1" ht="20.100000000000001" customHeight="1" thickBot="1" x14ac:dyDescent="0.35">
      <c r="B41" s="277" t="s">
        <v>67</v>
      </c>
      <c r="C41" s="259" t="s">
        <v>113</v>
      </c>
      <c r="D41" s="824">
        <v>1200</v>
      </c>
      <c r="E41" s="824">
        <v>1200</v>
      </c>
      <c r="F41" s="824">
        <v>1200</v>
      </c>
      <c r="G41" s="300">
        <v>1000</v>
      </c>
      <c r="H41" s="400">
        <v>1200</v>
      </c>
      <c r="I41" s="400">
        <v>925.24</v>
      </c>
      <c r="J41" s="185">
        <f t="shared" si="2"/>
        <v>-74.759999999999991</v>
      </c>
      <c r="K41" s="397">
        <v>1000</v>
      </c>
      <c r="L41" s="397">
        <v>1000</v>
      </c>
      <c r="M41" s="433">
        <f>[7]Sheet1!$BO$17</f>
        <v>397.08</v>
      </c>
      <c r="N41" s="345">
        <f t="shared" si="3"/>
        <v>602.92000000000007</v>
      </c>
      <c r="O41" s="1076">
        <f t="shared" si="4"/>
        <v>0.39707999999999999</v>
      </c>
      <c r="P41" s="1249"/>
      <c r="Q41" s="433">
        <v>500</v>
      </c>
      <c r="R41" s="1110">
        <v>271.88</v>
      </c>
      <c r="S41" s="326">
        <f t="shared" si="0"/>
        <v>228.12</v>
      </c>
      <c r="T41" s="188">
        <v>500</v>
      </c>
      <c r="U41" s="397">
        <v>500</v>
      </c>
      <c r="V41" s="1128">
        <v>500</v>
      </c>
      <c r="W41" s="345">
        <v>500</v>
      </c>
      <c r="X41" s="433">
        <v>500</v>
      </c>
      <c r="Y41" s="1077">
        <f t="shared" si="12"/>
        <v>1</v>
      </c>
      <c r="Z41" s="1218">
        <v>500</v>
      </c>
      <c r="AA41" s="433">
        <f>'[14]Summ by Dept'!$BO$17</f>
        <v>722.91000000000008</v>
      </c>
      <c r="AB41" s="432">
        <f t="shared" si="11"/>
        <v>222.91000000000008</v>
      </c>
      <c r="AC41" s="1555">
        <v>600</v>
      </c>
    </row>
    <row r="42" spans="2:29" s="62" customFormat="1" ht="20.100000000000001" customHeight="1" thickBot="1" x14ac:dyDescent="0.35">
      <c r="B42" s="277" t="s">
        <v>68</v>
      </c>
      <c r="C42" s="259" t="s">
        <v>114</v>
      </c>
      <c r="D42" s="824">
        <v>4800</v>
      </c>
      <c r="E42" s="824">
        <v>4800</v>
      </c>
      <c r="F42" s="824">
        <v>4800</v>
      </c>
      <c r="G42" s="300">
        <v>1000</v>
      </c>
      <c r="H42" s="400">
        <v>2000</v>
      </c>
      <c r="I42" s="400">
        <v>814</v>
      </c>
      <c r="J42" s="185">
        <f t="shared" si="2"/>
        <v>-186</v>
      </c>
      <c r="K42" s="397">
        <v>1000</v>
      </c>
      <c r="L42" s="397">
        <v>1000</v>
      </c>
      <c r="M42" s="433">
        <f>[7]Sheet1!$BP$17</f>
        <v>2782.16</v>
      </c>
      <c r="N42" s="345">
        <f t="shared" si="3"/>
        <v>-1782.1599999999999</v>
      </c>
      <c r="O42" s="1076">
        <f t="shared" si="4"/>
        <v>2.7821599999999997</v>
      </c>
      <c r="P42" s="1249"/>
      <c r="Q42" s="433">
        <v>2500</v>
      </c>
      <c r="R42" s="1110">
        <f>2493.35+336</f>
        <v>2829.35</v>
      </c>
      <c r="S42" s="326">
        <f t="shared" si="0"/>
        <v>-329.34999999999991</v>
      </c>
      <c r="T42" s="188">
        <v>2500</v>
      </c>
      <c r="U42" s="397">
        <v>2500</v>
      </c>
      <c r="V42" s="1128">
        <v>2500</v>
      </c>
      <c r="W42" s="345">
        <v>2500</v>
      </c>
      <c r="X42" s="433">
        <v>2100</v>
      </c>
      <c r="Y42" s="1077">
        <f t="shared" si="12"/>
        <v>0.84</v>
      </c>
      <c r="Z42" s="1218">
        <v>2500</v>
      </c>
      <c r="AA42" s="433">
        <f>'[14]Summ by Dept'!$BP$17</f>
        <v>3992.6</v>
      </c>
      <c r="AB42" s="432">
        <f t="shared" si="11"/>
        <v>1492.6</v>
      </c>
      <c r="AC42" s="1555">
        <v>2500</v>
      </c>
    </row>
    <row r="43" spans="2:29" s="62" customFormat="1" ht="20.100000000000001" customHeight="1" thickBot="1" x14ac:dyDescent="0.35">
      <c r="B43" s="277" t="s">
        <v>329</v>
      </c>
      <c r="C43" s="259" t="s">
        <v>330</v>
      </c>
      <c r="D43" s="824">
        <v>9000</v>
      </c>
      <c r="E43" s="824">
        <v>9000</v>
      </c>
      <c r="F43" s="824">
        <v>9000</v>
      </c>
      <c r="G43" s="300">
        <v>250</v>
      </c>
      <c r="H43" s="400">
        <v>5000</v>
      </c>
      <c r="I43" s="400"/>
      <c r="J43" s="185">
        <f t="shared" si="2"/>
        <v>-250</v>
      </c>
      <c r="K43" s="397"/>
      <c r="L43" s="397"/>
      <c r="M43" s="964"/>
      <c r="N43" s="345">
        <f t="shared" si="3"/>
        <v>0</v>
      </c>
      <c r="O43" s="1076"/>
      <c r="P43" s="1249"/>
      <c r="Q43" s="433"/>
      <c r="R43" s="1110"/>
      <c r="S43" s="326">
        <f t="shared" si="0"/>
        <v>0</v>
      </c>
      <c r="T43" s="188"/>
      <c r="U43" s="397"/>
      <c r="V43" s="1535"/>
      <c r="W43" s="433"/>
      <c r="X43" s="433"/>
      <c r="Y43" s="1077"/>
      <c r="Z43" s="1218"/>
      <c r="AA43" s="964"/>
      <c r="AB43" s="1659">
        <f t="shared" si="6"/>
        <v>0</v>
      </c>
      <c r="AC43" s="1555"/>
    </row>
    <row r="44" spans="2:29" s="62" customFormat="1" ht="20.100000000000001" customHeight="1" thickBot="1" x14ac:dyDescent="0.35">
      <c r="B44" s="277" t="s">
        <v>69</v>
      </c>
      <c r="C44" s="259" t="s">
        <v>325</v>
      </c>
      <c r="D44" s="824">
        <v>12000</v>
      </c>
      <c r="E44" s="824">
        <v>12000</v>
      </c>
      <c r="F44" s="824">
        <v>12000</v>
      </c>
      <c r="G44" s="300">
        <v>5500</v>
      </c>
      <c r="H44" s="400">
        <v>11000</v>
      </c>
      <c r="I44" s="400">
        <v>8554.69</v>
      </c>
      <c r="J44" s="185">
        <f t="shared" si="2"/>
        <v>3054.6900000000005</v>
      </c>
      <c r="K44" s="397">
        <v>9500</v>
      </c>
      <c r="L44" s="397">
        <v>9500</v>
      </c>
      <c r="M44" s="433">
        <f>[7]Sheet1!$BT$17</f>
        <v>4746.42</v>
      </c>
      <c r="N44" s="345">
        <f t="shared" si="3"/>
        <v>4753.58</v>
      </c>
      <c r="O44" s="1076">
        <f t="shared" si="4"/>
        <v>0.49962315789473682</v>
      </c>
      <c r="P44" s="1249"/>
      <c r="Q44" s="433">
        <v>6000</v>
      </c>
      <c r="R44" s="1110">
        <v>6031.36</v>
      </c>
      <c r="S44" s="326">
        <f t="shared" si="0"/>
        <v>-31.359999999999673</v>
      </c>
      <c r="T44" s="188">
        <v>6000</v>
      </c>
      <c r="U44" s="397">
        <v>6000</v>
      </c>
      <c r="V44" s="1128">
        <v>6000</v>
      </c>
      <c r="W44" s="345">
        <v>6000</v>
      </c>
      <c r="X44" s="433">
        <v>3300</v>
      </c>
      <c r="Y44" s="1077">
        <f t="shared" si="12"/>
        <v>0.55000000000000004</v>
      </c>
      <c r="Z44" s="1218">
        <v>6000</v>
      </c>
      <c r="AA44" s="433">
        <f>'[14]Summ by Dept'!$BT$17</f>
        <v>2612.19</v>
      </c>
      <c r="AB44" s="432">
        <f t="shared" si="11"/>
        <v>-3387.81</v>
      </c>
      <c r="AC44" s="1555">
        <v>2700</v>
      </c>
    </row>
    <row r="45" spans="2:29" s="62" customFormat="1" ht="20.100000000000001" customHeight="1" thickBot="1" x14ac:dyDescent="0.35">
      <c r="B45" s="278">
        <v>263</v>
      </c>
      <c r="C45" s="259" t="s">
        <v>160</v>
      </c>
      <c r="D45" s="824">
        <v>5000</v>
      </c>
      <c r="E45" s="824">
        <v>5000</v>
      </c>
      <c r="F45" s="824">
        <v>5000</v>
      </c>
      <c r="G45" s="300">
        <v>2000</v>
      </c>
      <c r="H45" s="400">
        <v>5000</v>
      </c>
      <c r="I45" s="400">
        <v>1866.4</v>
      </c>
      <c r="J45" s="185">
        <f t="shared" si="2"/>
        <v>-133.59999999999991</v>
      </c>
      <c r="K45" s="397">
        <v>2000</v>
      </c>
      <c r="L45" s="397">
        <v>2000</v>
      </c>
      <c r="M45" s="433">
        <f>[7]Sheet1!$BU$17</f>
        <v>0</v>
      </c>
      <c r="N45" s="345">
        <f t="shared" si="3"/>
        <v>2000</v>
      </c>
      <c r="O45" s="1076">
        <f t="shared" si="4"/>
        <v>0</v>
      </c>
      <c r="P45" s="1249"/>
      <c r="Q45" s="433">
        <v>0</v>
      </c>
      <c r="R45" s="1110"/>
      <c r="S45" s="326">
        <f t="shared" si="0"/>
        <v>0</v>
      </c>
      <c r="T45" s="188"/>
      <c r="U45" s="397"/>
      <c r="V45" s="1535"/>
      <c r="W45" s="433"/>
      <c r="X45" s="433"/>
      <c r="Y45" s="1077"/>
      <c r="Z45" s="1218"/>
      <c r="AA45" s="964"/>
      <c r="AB45" s="1659">
        <f t="shared" si="6"/>
        <v>0</v>
      </c>
      <c r="AC45" s="1555"/>
    </row>
    <row r="46" spans="2:29" s="62" customFormat="1" ht="20.100000000000001" customHeight="1" thickBot="1" x14ac:dyDescent="0.35">
      <c r="B46" s="277" t="s">
        <v>70</v>
      </c>
      <c r="C46" s="259" t="s">
        <v>115</v>
      </c>
      <c r="D46" s="824">
        <v>20000</v>
      </c>
      <c r="E46" s="824">
        <v>20000</v>
      </c>
      <c r="F46" s="824">
        <v>20000</v>
      </c>
      <c r="G46" s="300">
        <v>10000</v>
      </c>
      <c r="H46" s="400">
        <v>20000</v>
      </c>
      <c r="I46" s="400">
        <v>12477.41</v>
      </c>
      <c r="J46" s="185">
        <f t="shared" si="2"/>
        <v>2477.41</v>
      </c>
      <c r="K46" s="397">
        <v>14445</v>
      </c>
      <c r="L46" s="397">
        <v>14445</v>
      </c>
      <c r="M46" s="433">
        <f>[7]Sheet1!$BV$17</f>
        <v>10929.380000000001</v>
      </c>
      <c r="N46" s="345">
        <f t="shared" si="3"/>
        <v>3515.619999999999</v>
      </c>
      <c r="O46" s="1076">
        <f t="shared" si="4"/>
        <v>0.75662028383523716</v>
      </c>
      <c r="P46" s="1249"/>
      <c r="Q46" s="433">
        <v>11000</v>
      </c>
      <c r="R46" s="1110">
        <v>9955.3700000000008</v>
      </c>
      <c r="S46" s="326">
        <f t="shared" si="0"/>
        <v>1044.6299999999992</v>
      </c>
      <c r="T46" s="188">
        <v>11000</v>
      </c>
      <c r="U46" s="397">
        <v>11000</v>
      </c>
      <c r="V46" s="1128">
        <v>11000</v>
      </c>
      <c r="W46" s="345">
        <v>12000</v>
      </c>
      <c r="X46" s="433">
        <v>7200</v>
      </c>
      <c r="Y46" s="1077">
        <f t="shared" si="12"/>
        <v>0.6</v>
      </c>
      <c r="Z46" s="1218">
        <v>12000</v>
      </c>
      <c r="AA46" s="433">
        <f>'[14]Summ by Dept'!$BV$17</f>
        <v>1072.8</v>
      </c>
      <c r="AB46" s="432">
        <f t="shared" si="11"/>
        <v>-10927.2</v>
      </c>
      <c r="AC46" s="1555">
        <v>1500</v>
      </c>
    </row>
    <row r="47" spans="2:29" s="167" customFormat="1" ht="20.100000000000001" customHeight="1" thickBot="1" x14ac:dyDescent="0.35">
      <c r="B47" s="277" t="s">
        <v>71</v>
      </c>
      <c r="C47" s="259" t="s">
        <v>116</v>
      </c>
      <c r="D47" s="824">
        <v>10000</v>
      </c>
      <c r="E47" s="824">
        <v>10000</v>
      </c>
      <c r="F47" s="824">
        <v>10000</v>
      </c>
      <c r="G47" s="921">
        <v>5355</v>
      </c>
      <c r="H47" s="400">
        <v>10000</v>
      </c>
      <c r="I47" s="400">
        <v>3718</v>
      </c>
      <c r="J47" s="185">
        <f t="shared" si="2"/>
        <v>-1637</v>
      </c>
      <c r="K47" s="961">
        <v>5000</v>
      </c>
      <c r="L47" s="961">
        <v>5000</v>
      </c>
      <c r="M47" s="1071">
        <f>[7]Sheet1!$BW$17</f>
        <v>5099</v>
      </c>
      <c r="N47" s="345">
        <f t="shared" si="3"/>
        <v>-99</v>
      </c>
      <c r="O47" s="1076">
        <f t="shared" si="4"/>
        <v>1.0198</v>
      </c>
      <c r="P47" s="1249"/>
      <c r="Q47" s="1071">
        <v>5100</v>
      </c>
      <c r="R47" s="1137">
        <v>5495</v>
      </c>
      <c r="S47" s="326">
        <f t="shared" si="0"/>
        <v>-395</v>
      </c>
      <c r="T47" s="400">
        <v>5100</v>
      </c>
      <c r="U47" s="961">
        <v>5100</v>
      </c>
      <c r="V47" s="1128">
        <v>5100</v>
      </c>
      <c r="W47" s="345">
        <v>5100</v>
      </c>
      <c r="X47" s="1071">
        <v>2970</v>
      </c>
      <c r="Y47" s="1077">
        <f t="shared" si="12"/>
        <v>0.58235294117647063</v>
      </c>
      <c r="Z47" s="1595">
        <v>5100</v>
      </c>
      <c r="AA47" s="1071">
        <f>'[14]Summ by Dept'!$BW$17</f>
        <v>800</v>
      </c>
      <c r="AB47" s="432">
        <f t="shared" si="11"/>
        <v>-4300</v>
      </c>
      <c r="AC47" s="1701">
        <v>1000</v>
      </c>
    </row>
    <row r="48" spans="2:29" s="167" customFormat="1" ht="20.100000000000001" customHeight="1" thickBot="1" x14ac:dyDescent="0.35">
      <c r="B48" s="277" t="s">
        <v>72</v>
      </c>
      <c r="C48" s="259" t="s">
        <v>635</v>
      </c>
      <c r="D48" s="824">
        <v>1000</v>
      </c>
      <c r="E48" s="824">
        <v>2000</v>
      </c>
      <c r="F48" s="824">
        <v>2000</v>
      </c>
      <c r="G48" s="921">
        <v>600</v>
      </c>
      <c r="H48" s="400">
        <v>1000</v>
      </c>
      <c r="I48" s="400">
        <v>369.77</v>
      </c>
      <c r="J48" s="185">
        <f t="shared" si="2"/>
        <v>-230.23000000000002</v>
      </c>
      <c r="K48" s="961">
        <v>500</v>
      </c>
      <c r="L48" s="961">
        <v>500</v>
      </c>
      <c r="M48" s="1071">
        <f>[7]Sheet1!$BX$17</f>
        <v>312.94</v>
      </c>
      <c r="N48" s="345">
        <f t="shared" si="3"/>
        <v>187.06</v>
      </c>
      <c r="O48" s="1076">
        <f t="shared" si="4"/>
        <v>0.62587999999999999</v>
      </c>
      <c r="P48" s="1249"/>
      <c r="Q48" s="1071">
        <v>400</v>
      </c>
      <c r="R48" s="1137">
        <v>24.25</v>
      </c>
      <c r="S48" s="326">
        <f t="shared" si="0"/>
        <v>375.75</v>
      </c>
      <c r="T48" s="400">
        <v>500</v>
      </c>
      <c r="U48" s="961">
        <v>500</v>
      </c>
      <c r="V48" s="1128">
        <v>500</v>
      </c>
      <c r="W48" s="345">
        <v>500</v>
      </c>
      <c r="X48" s="1071"/>
      <c r="Y48" s="1592"/>
      <c r="Z48" s="1595">
        <v>500</v>
      </c>
      <c r="AA48" s="1071">
        <f>'[14]Summ by Dept'!$BX$17</f>
        <v>35.25</v>
      </c>
      <c r="AB48" s="432">
        <f t="shared" si="11"/>
        <v>-464.75</v>
      </c>
      <c r="AC48" s="1701">
        <v>50</v>
      </c>
    </row>
    <row r="49" spans="2:29" s="167" customFormat="1" ht="20.100000000000001" customHeight="1" thickBot="1" x14ac:dyDescent="0.35">
      <c r="B49" s="277" t="s">
        <v>317</v>
      </c>
      <c r="C49" s="259" t="s">
        <v>741</v>
      </c>
      <c r="D49" s="824">
        <v>0</v>
      </c>
      <c r="E49" s="824">
        <v>0</v>
      </c>
      <c r="F49" s="824">
        <v>0</v>
      </c>
      <c r="G49" s="921"/>
      <c r="H49" s="400"/>
      <c r="I49" s="400"/>
      <c r="J49" s="185">
        <f t="shared" si="2"/>
        <v>0</v>
      </c>
      <c r="K49" s="961"/>
      <c r="L49" s="961"/>
      <c r="M49" s="966"/>
      <c r="N49" s="345">
        <f t="shared" si="3"/>
        <v>0</v>
      </c>
      <c r="O49" s="1076"/>
      <c r="P49" s="1249"/>
      <c r="Q49" s="1071"/>
      <c r="R49" s="1137"/>
      <c r="S49" s="326">
        <f t="shared" si="0"/>
        <v>0</v>
      </c>
      <c r="T49" s="400"/>
      <c r="U49" s="961"/>
      <c r="V49" s="1128">
        <v>0</v>
      </c>
      <c r="W49" s="345">
        <v>0</v>
      </c>
      <c r="X49" s="1071"/>
      <c r="Y49" s="1592"/>
      <c r="Z49" s="1595"/>
      <c r="AA49" s="966"/>
      <c r="AB49" s="1659">
        <f t="shared" si="6"/>
        <v>0</v>
      </c>
      <c r="AC49" s="1701"/>
    </row>
    <row r="50" spans="2:29" s="167" customFormat="1" ht="20.100000000000001" customHeight="1" thickBot="1" x14ac:dyDescent="0.35">
      <c r="B50" s="277" t="s">
        <v>319</v>
      </c>
      <c r="C50" s="259" t="s">
        <v>831</v>
      </c>
      <c r="D50" s="824">
        <v>30000</v>
      </c>
      <c r="E50" s="824">
        <v>30000</v>
      </c>
      <c r="F50" s="824">
        <v>30000</v>
      </c>
      <c r="G50" s="921">
        <v>20000</v>
      </c>
      <c r="H50" s="400">
        <v>30000</v>
      </c>
      <c r="I50" s="400">
        <v>31884.5</v>
      </c>
      <c r="J50" s="185">
        <f t="shared" si="2"/>
        <v>11884.5</v>
      </c>
      <c r="K50" s="961">
        <f>31884+7508</f>
        <v>39392</v>
      </c>
      <c r="L50" s="961">
        <f>31884+7508</f>
        <v>39392</v>
      </c>
      <c r="M50" s="1071">
        <f>[7]Sheet1!$BZ$17</f>
        <v>32475.5</v>
      </c>
      <c r="N50" s="345">
        <f t="shared" si="3"/>
        <v>6916.5</v>
      </c>
      <c r="O50" s="1076">
        <f t="shared" si="4"/>
        <v>0.8244186636880585</v>
      </c>
      <c r="P50" s="1249"/>
      <c r="Q50" s="1071">
        <v>32476</v>
      </c>
      <c r="R50" s="1137"/>
      <c r="S50" s="326">
        <f t="shared" si="0"/>
        <v>32476</v>
      </c>
      <c r="T50" s="400"/>
      <c r="U50" s="961">
        <v>35000</v>
      </c>
      <c r="V50" s="1128">
        <v>35000</v>
      </c>
      <c r="W50" s="345">
        <v>30000</v>
      </c>
      <c r="X50" s="1071">
        <v>32475</v>
      </c>
      <c r="Y50" s="1077">
        <f t="shared" ref="Y50:Y52" si="13">X50/W50</f>
        <v>1.0825</v>
      </c>
      <c r="Z50" s="1595">
        <v>33000</v>
      </c>
      <c r="AA50" s="966"/>
      <c r="AB50" s="432">
        <f t="shared" si="11"/>
        <v>-33000</v>
      </c>
      <c r="AC50" s="1701"/>
    </row>
    <row r="51" spans="2:29" s="167" customFormat="1" ht="20.100000000000001" customHeight="1" thickBot="1" x14ac:dyDescent="0.35">
      <c r="B51" s="277" t="s">
        <v>73</v>
      </c>
      <c r="C51" s="259" t="s">
        <v>118</v>
      </c>
      <c r="D51" s="824">
        <v>1500</v>
      </c>
      <c r="E51" s="824">
        <v>2705</v>
      </c>
      <c r="F51" s="824">
        <v>2705</v>
      </c>
      <c r="G51" s="921">
        <v>1200</v>
      </c>
      <c r="H51" s="400">
        <v>1200</v>
      </c>
      <c r="I51" s="400">
        <v>890</v>
      </c>
      <c r="J51" s="185">
        <f t="shared" si="2"/>
        <v>-310</v>
      </c>
      <c r="K51" s="961">
        <v>1200</v>
      </c>
      <c r="L51" s="961">
        <v>1200</v>
      </c>
      <c r="M51" s="1071">
        <f>[7]Sheet1!$CA$17</f>
        <v>840</v>
      </c>
      <c r="N51" s="345">
        <f t="shared" si="3"/>
        <v>360</v>
      </c>
      <c r="O51" s="1076">
        <f t="shared" si="4"/>
        <v>0.7</v>
      </c>
      <c r="P51" s="1249"/>
      <c r="Q51" s="1071">
        <v>900</v>
      </c>
      <c r="R51" s="1137">
        <v>1095</v>
      </c>
      <c r="S51" s="326">
        <f t="shared" si="0"/>
        <v>-195</v>
      </c>
      <c r="T51" s="400">
        <v>1100</v>
      </c>
      <c r="U51" s="961">
        <v>1100</v>
      </c>
      <c r="V51" s="1128">
        <v>1100</v>
      </c>
      <c r="W51" s="345">
        <v>1100</v>
      </c>
      <c r="X51" s="1071">
        <v>1100</v>
      </c>
      <c r="Y51" s="1077">
        <f t="shared" si="13"/>
        <v>1</v>
      </c>
      <c r="Z51" s="1595">
        <v>1100</v>
      </c>
      <c r="AA51" s="1071">
        <f>'[14]Summ by Dept'!$CA$17</f>
        <v>1540</v>
      </c>
      <c r="AB51" s="432">
        <f t="shared" si="11"/>
        <v>440</v>
      </c>
      <c r="AC51" s="1701">
        <v>1600</v>
      </c>
    </row>
    <row r="52" spans="2:29" s="167" customFormat="1" ht="20.100000000000001" customHeight="1" thickBot="1" x14ac:dyDescent="0.35">
      <c r="B52" s="277" t="s">
        <v>205</v>
      </c>
      <c r="C52" s="259" t="s">
        <v>321</v>
      </c>
      <c r="D52" s="824">
        <v>37000</v>
      </c>
      <c r="E52" s="824">
        <v>37000</v>
      </c>
      <c r="F52" s="824">
        <v>37000</v>
      </c>
      <c r="G52" s="921">
        <v>41780</v>
      </c>
      <c r="H52" s="400">
        <v>37000</v>
      </c>
      <c r="I52" s="400">
        <v>42025</v>
      </c>
      <c r="J52" s="185">
        <f t="shared" si="2"/>
        <v>245</v>
      </c>
      <c r="K52" s="961">
        <v>46812</v>
      </c>
      <c r="L52" s="961">
        <v>46812</v>
      </c>
      <c r="M52" s="1071">
        <f>[7]Sheet1!$CB$17</f>
        <v>54317.919999999998</v>
      </c>
      <c r="N52" s="345">
        <f t="shared" si="3"/>
        <v>-7505.9199999999983</v>
      </c>
      <c r="O52" s="1076">
        <f t="shared" si="4"/>
        <v>1.1603417927027257</v>
      </c>
      <c r="P52" s="1249"/>
      <c r="Q52" s="1071">
        <v>45642</v>
      </c>
      <c r="R52" s="1137">
        <v>80989.7</v>
      </c>
      <c r="S52" s="326">
        <f t="shared" si="0"/>
        <v>-35347.699999999997</v>
      </c>
      <c r="T52" s="400">
        <v>81000</v>
      </c>
      <c r="U52" s="961">
        <v>81000</v>
      </c>
      <c r="V52" s="1128">
        <v>81000</v>
      </c>
      <c r="W52" s="345">
        <v>81000</v>
      </c>
      <c r="X52" s="1071">
        <v>80464</v>
      </c>
      <c r="Y52" s="1077">
        <f t="shared" si="13"/>
        <v>0.99338271604938266</v>
      </c>
      <c r="Z52" s="1595">
        <v>48000</v>
      </c>
      <c r="AA52" s="1071">
        <f>'[14]Summ by Dept'!$CB$17</f>
        <v>85136.62</v>
      </c>
      <c r="AB52" s="432">
        <f t="shared" si="11"/>
        <v>37136.619999999995</v>
      </c>
      <c r="AC52" s="1701">
        <v>86000</v>
      </c>
    </row>
    <row r="53" spans="2:29" s="167" customFormat="1" ht="20.100000000000001" customHeight="1" thickBot="1" x14ac:dyDescent="0.35">
      <c r="B53" s="277" t="s">
        <v>123</v>
      </c>
      <c r="C53" s="259" t="s">
        <v>120</v>
      </c>
      <c r="D53" s="824">
        <v>0</v>
      </c>
      <c r="E53" s="824">
        <v>0</v>
      </c>
      <c r="F53" s="824">
        <v>0</v>
      </c>
      <c r="G53" s="921"/>
      <c r="H53" s="400"/>
      <c r="I53" s="400">
        <v>346</v>
      </c>
      <c r="J53" s="185">
        <f t="shared" si="2"/>
        <v>346</v>
      </c>
      <c r="K53" s="961">
        <v>2500</v>
      </c>
      <c r="L53" s="961">
        <v>2500</v>
      </c>
      <c r="M53" s="1071">
        <f>[7]Sheet1!$CJ$17</f>
        <v>2102.81</v>
      </c>
      <c r="N53" s="345">
        <f t="shared" si="3"/>
        <v>397.19000000000005</v>
      </c>
      <c r="O53" s="1076">
        <f t="shared" si="4"/>
        <v>0.84112399999999998</v>
      </c>
      <c r="P53" s="1249"/>
      <c r="Q53" s="1071">
        <v>0</v>
      </c>
      <c r="R53" s="1137"/>
      <c r="S53" s="326">
        <f t="shared" si="0"/>
        <v>0</v>
      </c>
      <c r="T53" s="400"/>
      <c r="U53" s="961"/>
      <c r="V53" s="1536"/>
      <c r="W53" s="966"/>
      <c r="X53" s="1071"/>
      <c r="Y53" s="1592"/>
      <c r="Z53" s="1595"/>
      <c r="AA53" s="966"/>
      <c r="AB53" s="1659">
        <f t="shared" si="6"/>
        <v>0</v>
      </c>
      <c r="AC53" s="1701">
        <v>700</v>
      </c>
    </row>
    <row r="54" spans="2:29" s="167" customFormat="1" ht="20.100000000000001" customHeight="1" thickBot="1" x14ac:dyDescent="0.35">
      <c r="B54" s="277" t="s">
        <v>74</v>
      </c>
      <c r="C54" s="259" t="s">
        <v>380</v>
      </c>
      <c r="D54" s="824">
        <v>0</v>
      </c>
      <c r="E54" s="824">
        <v>0</v>
      </c>
      <c r="F54" s="824">
        <v>0</v>
      </c>
      <c r="G54" s="921">
        <v>5000</v>
      </c>
      <c r="H54" s="400"/>
      <c r="I54" s="400">
        <v>3395.58</v>
      </c>
      <c r="J54" s="185">
        <f t="shared" si="2"/>
        <v>-1604.42</v>
      </c>
      <c r="K54" s="961">
        <v>1000</v>
      </c>
      <c r="L54" s="961">
        <v>1000</v>
      </c>
      <c r="M54" s="1071">
        <f>[7]Sheet1!$CM$17</f>
        <v>6326.68</v>
      </c>
      <c r="N54" s="345">
        <f t="shared" si="3"/>
        <v>-5326.68</v>
      </c>
      <c r="O54" s="1076">
        <f t="shared" si="4"/>
        <v>6.3266800000000005</v>
      </c>
      <c r="P54" s="1249"/>
      <c r="Q54" s="1071">
        <v>2000</v>
      </c>
      <c r="R54" s="1137">
        <v>3729.81</v>
      </c>
      <c r="S54" s="326">
        <f t="shared" si="0"/>
        <v>-1729.81</v>
      </c>
      <c r="T54" s="400"/>
      <c r="U54" s="961"/>
      <c r="V54" s="1536"/>
      <c r="W54" s="966"/>
      <c r="X54" s="1071"/>
      <c r="Y54" s="1592"/>
      <c r="Z54" s="1595"/>
      <c r="AA54" s="966"/>
      <c r="AB54" s="1659">
        <f t="shared" si="6"/>
        <v>0</v>
      </c>
      <c r="AC54" s="1701"/>
    </row>
    <row r="55" spans="2:29" s="62" customFormat="1" ht="20.100000000000001" customHeight="1" thickBot="1" x14ac:dyDescent="0.35">
      <c r="B55" s="827" t="s">
        <v>322</v>
      </c>
      <c r="C55" s="279" t="s">
        <v>323</v>
      </c>
      <c r="D55" s="828">
        <v>0</v>
      </c>
      <c r="E55" s="828">
        <v>0</v>
      </c>
      <c r="F55" s="828">
        <v>0</v>
      </c>
      <c r="G55" s="547">
        <v>2800</v>
      </c>
      <c r="H55" s="328"/>
      <c r="I55" s="328">
        <v>7789.35</v>
      </c>
      <c r="J55" s="193">
        <f t="shared" si="2"/>
        <v>4989.3500000000004</v>
      </c>
      <c r="K55" s="962">
        <v>5200</v>
      </c>
      <c r="L55" s="962">
        <v>5200</v>
      </c>
      <c r="M55" s="1073">
        <f>[7]Sheet1!$DC$17+[7]Sheet1!$DD$17</f>
        <v>12934.36</v>
      </c>
      <c r="N55" s="421">
        <f t="shared" si="3"/>
        <v>-7734.3600000000006</v>
      </c>
      <c r="O55" s="1081">
        <f t="shared" si="4"/>
        <v>2.4873769230769232</v>
      </c>
      <c r="P55" s="1250"/>
      <c r="Q55" s="1003">
        <v>7000</v>
      </c>
      <c r="R55" s="1430">
        <v>6039</v>
      </c>
      <c r="S55" s="326">
        <f t="shared" si="0"/>
        <v>961</v>
      </c>
      <c r="T55" s="328"/>
      <c r="U55" s="962"/>
      <c r="V55" s="1537"/>
      <c r="W55" s="1520"/>
      <c r="X55" s="1589"/>
      <c r="Y55" s="1593"/>
      <c r="Z55" s="1596"/>
      <c r="AA55" s="1660"/>
      <c r="AB55" s="1661">
        <f t="shared" si="6"/>
        <v>0</v>
      </c>
      <c r="AC55" s="1555">
        <v>1500</v>
      </c>
    </row>
    <row r="56" spans="2:29" ht="24.95" customHeight="1" thickBot="1" x14ac:dyDescent="0.4">
      <c r="B56" s="820"/>
      <c r="C56" s="820" t="s">
        <v>75</v>
      </c>
      <c r="D56" s="821">
        <f t="shared" ref="D56:M56" si="14">SUM(D5:D55)</f>
        <v>813682</v>
      </c>
      <c r="E56" s="821">
        <f t="shared" si="14"/>
        <v>735030</v>
      </c>
      <c r="F56" s="821">
        <f t="shared" si="14"/>
        <v>772889</v>
      </c>
      <c r="G56" s="821">
        <f t="shared" si="14"/>
        <v>624438</v>
      </c>
      <c r="H56" s="821">
        <f t="shared" si="14"/>
        <v>813682</v>
      </c>
      <c r="I56" s="821">
        <f t="shared" si="14"/>
        <v>677056.16</v>
      </c>
      <c r="J56" s="829">
        <f t="shared" si="2"/>
        <v>52618.160000000033</v>
      </c>
      <c r="K56" s="821">
        <f t="shared" si="14"/>
        <v>685854</v>
      </c>
      <c r="L56" s="821">
        <f t="shared" si="14"/>
        <v>687159.32000000007</v>
      </c>
      <c r="M56" s="821">
        <f t="shared" si="14"/>
        <v>535450.09000000008</v>
      </c>
      <c r="N56" s="1083">
        <f>L56-M56</f>
        <v>151709.22999999998</v>
      </c>
      <c r="O56" s="1082">
        <f>M56/L56</f>
        <v>0.77922262627537386</v>
      </c>
      <c r="P56" s="1083">
        <f t="shared" ref="P56" si="15">SUM(P5:P55)</f>
        <v>30320</v>
      </c>
      <c r="Q56" s="1083">
        <f t="shared" ref="Q56:AC56" si="16">SUM(Q5:Q55)</f>
        <v>693429</v>
      </c>
      <c r="R56" s="1083">
        <f t="shared" si="16"/>
        <v>601011.07000000007</v>
      </c>
      <c r="S56" s="1439">
        <f t="shared" si="0"/>
        <v>92417.929999999935</v>
      </c>
      <c r="T56" s="1083">
        <f t="shared" si="16"/>
        <v>628676</v>
      </c>
      <c r="U56" s="1083">
        <f t="shared" si="16"/>
        <v>618004</v>
      </c>
      <c r="V56" s="1083">
        <f t="shared" si="16"/>
        <v>608004</v>
      </c>
      <c r="W56" s="1083">
        <f t="shared" si="16"/>
        <v>598004</v>
      </c>
      <c r="X56" s="1083">
        <f t="shared" si="16"/>
        <v>583321.64</v>
      </c>
      <c r="Y56" s="1083">
        <f>X56/W56</f>
        <v>0.9754477227577073</v>
      </c>
      <c r="Z56" s="1083">
        <f t="shared" si="16"/>
        <v>595874</v>
      </c>
      <c r="AA56" s="1083">
        <f t="shared" si="16"/>
        <v>621368.55999999994</v>
      </c>
      <c r="AB56" s="432">
        <f t="shared" ref="AB56" si="17">AA56-Z56</f>
        <v>25494.559999999939</v>
      </c>
      <c r="AC56" s="1702">
        <f t="shared" si="16"/>
        <v>675821</v>
      </c>
    </row>
    <row r="57" spans="2:29" ht="18" hidden="1" x14ac:dyDescent="0.35">
      <c r="B57" s="16"/>
      <c r="C57" s="16" t="s">
        <v>478</v>
      </c>
    </row>
    <row r="58" spans="2:29" ht="18" hidden="1" x14ac:dyDescent="0.35">
      <c r="B58" s="16"/>
      <c r="C58" s="16" t="s">
        <v>479</v>
      </c>
    </row>
    <row r="59" spans="2:29" ht="18" hidden="1" x14ac:dyDescent="0.35">
      <c r="B59" s="16"/>
      <c r="C59" s="16" t="s">
        <v>480</v>
      </c>
    </row>
    <row r="60" spans="2:29" hidden="1" x14ac:dyDescent="0.25"/>
    <row r="61" spans="2:29" hidden="1" x14ac:dyDescent="0.25"/>
    <row r="62" spans="2:29" ht="15.75" hidden="1" thickBot="1" x14ac:dyDescent="0.3">
      <c r="C62" s="89" t="s">
        <v>398</v>
      </c>
    </row>
    <row r="63" spans="2:29" ht="15.75" hidden="1" x14ac:dyDescent="0.3">
      <c r="B63" s="14" t="s">
        <v>54</v>
      </c>
      <c r="C63" s="9" t="s">
        <v>101</v>
      </c>
    </row>
    <row r="64" spans="2:29" ht="15.75" hidden="1" x14ac:dyDescent="0.3">
      <c r="B64" s="90" t="s">
        <v>146</v>
      </c>
      <c r="C64" s="9" t="s">
        <v>119</v>
      </c>
    </row>
    <row r="65" spans="2:15" ht="15.75" hidden="1" x14ac:dyDescent="0.3">
      <c r="B65" s="14" t="s">
        <v>166</v>
      </c>
      <c r="C65" s="23" t="s">
        <v>312</v>
      </c>
    </row>
    <row r="66" spans="2:15" ht="15.75" hidden="1" x14ac:dyDescent="0.3">
      <c r="B66" s="14" t="s">
        <v>88</v>
      </c>
      <c r="C66" s="9" t="s">
        <v>313</v>
      </c>
    </row>
    <row r="67" spans="2:15" ht="15.75" hidden="1" x14ac:dyDescent="0.3">
      <c r="B67" s="14" t="s">
        <v>65</v>
      </c>
      <c r="C67" s="9" t="s">
        <v>112</v>
      </c>
    </row>
    <row r="68" spans="2:15" ht="15.75" hidden="1" x14ac:dyDescent="0.3">
      <c r="B68" s="14" t="s">
        <v>72</v>
      </c>
      <c r="C68" s="9" t="s">
        <v>117</v>
      </c>
    </row>
    <row r="69" spans="2:15" ht="15.75" hidden="1" x14ac:dyDescent="0.3">
      <c r="B69" s="14" t="s">
        <v>317</v>
      </c>
      <c r="C69" s="9" t="s">
        <v>318</v>
      </c>
    </row>
    <row r="70" spans="2:15" ht="15.75" hidden="1" x14ac:dyDescent="0.3">
      <c r="B70" s="14" t="s">
        <v>81</v>
      </c>
      <c r="C70" s="9" t="s">
        <v>139</v>
      </c>
    </row>
    <row r="71" spans="2:15" ht="15.75" hidden="1" x14ac:dyDescent="0.3">
      <c r="B71" s="14" t="s">
        <v>74</v>
      </c>
      <c r="C71" s="9" t="s">
        <v>380</v>
      </c>
    </row>
    <row r="72" spans="2:15" x14ac:dyDescent="0.25">
      <c r="C72" s="501"/>
      <c r="D72" s="1130"/>
      <c r="E72" s="1130"/>
      <c r="F72" s="1130"/>
      <c r="G72" s="1130"/>
      <c r="H72" s="76">
        <f>H56-D56</f>
        <v>0</v>
      </c>
      <c r="I72" s="76"/>
    </row>
    <row r="73" spans="2:15" x14ac:dyDescent="0.25">
      <c r="D73" s="76"/>
      <c r="L73" s="1237"/>
      <c r="M73" s="1237">
        <f>N53+N51+N48+N46+N45+N44+N26+N25+N14</f>
        <v>28065.749999999996</v>
      </c>
      <c r="N73" s="1237">
        <f>N55+N54+N52+N47+N42+N40+N39+N31+N30+N23+N22+N17+N13+N12+N8</f>
        <v>-54767.832000000002</v>
      </c>
      <c r="O73" s="1238"/>
    </row>
    <row r="74" spans="2:15" x14ac:dyDescent="0.25">
      <c r="D74" s="76"/>
      <c r="L74" s="1237" t="s">
        <v>889</v>
      </c>
      <c r="M74" s="1237"/>
      <c r="N74" s="1237"/>
      <c r="O74" s="1238"/>
    </row>
    <row r="75" spans="2:15" x14ac:dyDescent="0.25">
      <c r="D75" s="76"/>
      <c r="L75" s="1237" t="s">
        <v>890</v>
      </c>
      <c r="M75" s="1237"/>
      <c r="N75" s="1237"/>
      <c r="O75" s="1238"/>
    </row>
    <row r="76" spans="2:15" x14ac:dyDescent="0.25">
      <c r="D76" s="76"/>
      <c r="L76" s="1237" t="s">
        <v>891</v>
      </c>
      <c r="M76" s="1237"/>
      <c r="N76" s="1237"/>
      <c r="O76" s="1238"/>
    </row>
  </sheetData>
  <phoneticPr fontId="0" type="noConversion"/>
  <printOptions horizontalCentered="1"/>
  <pageMargins left="0" right="0" top="0.5" bottom="0.5" header="0.3" footer="0.3"/>
  <pageSetup paperSize="5" scale="81" fitToHeight="0" orientation="portrait" r:id="rId1"/>
  <headerFooter>
    <oddHeader>&amp;RPAGE 7-9</oddHeader>
    <oddFooter>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2:U34"/>
  <sheetViews>
    <sheetView workbookViewId="0">
      <selection activeCell="U7" sqref="U7"/>
    </sheetView>
  </sheetViews>
  <sheetFormatPr defaultRowHeight="15" x14ac:dyDescent="0.25"/>
  <cols>
    <col min="4" max="4" width="54.42578125" customWidth="1"/>
    <col min="5" max="5" width="18.7109375" style="76" hidden="1" customWidth="1"/>
    <col min="6" max="6" width="19.5703125" style="76" hidden="1" customWidth="1"/>
    <col min="7" max="7" width="14" style="76" hidden="1" customWidth="1"/>
    <col min="8" max="8" width="22.28515625" style="76" hidden="1" customWidth="1"/>
    <col min="9" max="9" width="17.140625" hidden="1" customWidth="1"/>
    <col min="10" max="10" width="14.5703125" style="76" hidden="1" customWidth="1"/>
    <col min="11" max="11" width="14.5703125" style="144" hidden="1" customWidth="1"/>
    <col min="12" max="12" width="17" hidden="1" customWidth="1"/>
    <col min="13" max="13" width="17.85546875" style="76" hidden="1" customWidth="1"/>
    <col min="14" max="14" width="16.140625" style="76" hidden="1" customWidth="1"/>
    <col min="15" max="15" width="16.7109375" style="76" hidden="1" customWidth="1"/>
    <col min="16" max="16" width="18.28515625" style="76" hidden="1" customWidth="1"/>
    <col min="17" max="17" width="14.28515625" style="76" hidden="1" customWidth="1"/>
    <col min="18" max="18" width="21" style="76" customWidth="1"/>
    <col min="19" max="19" width="16.28515625" customWidth="1"/>
    <col min="20" max="20" width="14.42578125" hidden="1" customWidth="1"/>
    <col min="21" max="21" width="17" style="76" customWidth="1"/>
  </cols>
  <sheetData>
    <row r="2" spans="3:21" ht="22.5" x14ac:dyDescent="0.4">
      <c r="C2" s="181"/>
      <c r="D2" s="1086" t="s">
        <v>816</v>
      </c>
      <c r="E2" s="919"/>
      <c r="F2" s="919"/>
      <c r="G2" s="919"/>
      <c r="H2" s="958">
        <f ca="1">TODAY()</f>
        <v>44259</v>
      </c>
      <c r="I2" s="758"/>
      <c r="J2" s="758"/>
      <c r="K2" s="758"/>
      <c r="L2" s="758"/>
      <c r="M2" s="919"/>
      <c r="N2" s="919"/>
      <c r="O2" s="919"/>
      <c r="P2" s="919"/>
      <c r="Q2" s="919"/>
      <c r="R2" s="919"/>
      <c r="S2" s="919"/>
      <c r="T2" s="919"/>
      <c r="U2" s="919"/>
    </row>
    <row r="3" spans="3:21" ht="30" customHeight="1" x14ac:dyDescent="0.4">
      <c r="C3" s="20"/>
      <c r="D3" s="1078" t="s">
        <v>1155</v>
      </c>
      <c r="E3" s="919"/>
      <c r="F3" s="919"/>
      <c r="G3" s="919"/>
      <c r="H3" s="959">
        <f ca="1">NOW()</f>
        <v>44259.508154745374</v>
      </c>
      <c r="I3" s="758"/>
      <c r="J3" s="758"/>
      <c r="K3" s="758"/>
      <c r="L3" s="758"/>
      <c r="M3" s="919"/>
      <c r="N3" s="919"/>
      <c r="O3" s="919"/>
      <c r="P3" s="919"/>
      <c r="Q3" s="919"/>
      <c r="R3" s="919"/>
      <c r="S3" s="919"/>
      <c r="T3" s="919"/>
      <c r="U3" s="919"/>
    </row>
    <row r="4" spans="3:21" ht="23.25" thickBot="1" x14ac:dyDescent="0.45">
      <c r="C4" s="157"/>
      <c r="D4" s="282" t="s">
        <v>1107</v>
      </c>
      <c r="E4" s="919"/>
      <c r="F4" s="919"/>
      <c r="G4" s="919"/>
      <c r="H4" s="958"/>
      <c r="I4" s="758"/>
      <c r="J4" s="758"/>
      <c r="K4" s="758"/>
      <c r="L4" s="758"/>
      <c r="M4" s="919"/>
      <c r="N4" s="919"/>
      <c r="O4" s="919"/>
      <c r="P4" s="919"/>
      <c r="Q4" s="919"/>
      <c r="R4" s="919"/>
      <c r="S4" s="919"/>
      <c r="T4" s="919"/>
      <c r="U4" s="919"/>
    </row>
    <row r="5" spans="3:21" ht="60" thickBot="1" x14ac:dyDescent="0.4">
      <c r="C5" s="329" t="s">
        <v>631</v>
      </c>
      <c r="D5" s="329" t="s">
        <v>630</v>
      </c>
      <c r="E5" s="551" t="s">
        <v>836</v>
      </c>
      <c r="F5" s="819" t="s">
        <v>811</v>
      </c>
      <c r="G5" s="1007" t="s">
        <v>797</v>
      </c>
      <c r="H5" s="612" t="s">
        <v>855</v>
      </c>
      <c r="I5" s="1070" t="s">
        <v>780</v>
      </c>
      <c r="J5" s="1079" t="s">
        <v>853</v>
      </c>
      <c r="K5" s="1074" t="s">
        <v>854</v>
      </c>
      <c r="L5" s="551" t="s">
        <v>944</v>
      </c>
      <c r="M5" s="1428" t="s">
        <v>981</v>
      </c>
      <c r="N5" s="1428" t="s">
        <v>798</v>
      </c>
      <c r="O5" s="1428" t="s">
        <v>942</v>
      </c>
      <c r="P5" s="1428" t="s">
        <v>984</v>
      </c>
      <c r="Q5" s="1428" t="s">
        <v>943</v>
      </c>
      <c r="R5" s="1588" t="s">
        <v>1078</v>
      </c>
      <c r="S5" s="1588" t="s">
        <v>1076</v>
      </c>
      <c r="T5" s="1588" t="s">
        <v>798</v>
      </c>
      <c r="U5" s="1696" t="s">
        <v>1097</v>
      </c>
    </row>
    <row r="6" spans="3:21" ht="15.75" x14ac:dyDescent="0.3">
      <c r="C6" s="498"/>
      <c r="D6" s="1061" t="s">
        <v>818</v>
      </c>
      <c r="E6" s="332">
        <v>63000</v>
      </c>
      <c r="F6" s="326"/>
      <c r="G6" s="326"/>
      <c r="H6" s="326">
        <v>70000</v>
      </c>
      <c r="I6" s="441"/>
      <c r="J6" s="432"/>
      <c r="K6" s="1075"/>
      <c r="L6" s="432">
        <v>60000</v>
      </c>
      <c r="M6" s="332"/>
      <c r="N6" s="326"/>
      <c r="O6" s="326">
        <v>60000</v>
      </c>
      <c r="P6" s="419">
        <f>O6</f>
        <v>60000</v>
      </c>
      <c r="Q6" s="485">
        <f>P6</f>
        <v>60000</v>
      </c>
      <c r="R6" s="1607">
        <v>60000</v>
      </c>
      <c r="S6" s="470"/>
      <c r="T6" s="470"/>
      <c r="U6" s="76">
        <f>80000-17339</f>
        <v>62661</v>
      </c>
    </row>
    <row r="7" spans="3:21" ht="15.75" x14ac:dyDescent="0.3">
      <c r="C7" s="276">
        <v>199</v>
      </c>
      <c r="D7" s="1062" t="s">
        <v>312</v>
      </c>
      <c r="E7" s="333"/>
      <c r="F7" s="185">
        <v>3029.23</v>
      </c>
      <c r="G7" s="185"/>
      <c r="H7" s="185"/>
      <c r="I7" s="303">
        <f>[7]Sheet1!$AM$32</f>
        <v>2636.41</v>
      </c>
      <c r="J7" s="345"/>
      <c r="K7" s="1076"/>
      <c r="L7" s="430"/>
      <c r="M7" s="333"/>
      <c r="N7" s="185"/>
      <c r="O7" s="185"/>
      <c r="P7" s="335"/>
      <c r="Q7" s="303"/>
      <c r="R7" s="1608"/>
      <c r="S7" s="456">
        <f>'[14]Summ by Dept'!$AM$32</f>
        <v>90</v>
      </c>
      <c r="T7" s="463"/>
    </row>
    <row r="8" spans="3:21" ht="15.75" x14ac:dyDescent="0.3">
      <c r="C8" s="498">
        <v>153</v>
      </c>
      <c r="D8" s="1061" t="s">
        <v>402</v>
      </c>
      <c r="E8" s="333"/>
      <c r="F8" s="185">
        <v>1200</v>
      </c>
      <c r="G8" s="185"/>
      <c r="H8" s="185"/>
      <c r="I8" s="303">
        <f>[7]Sheet1!$Q$32</f>
        <v>1080</v>
      </c>
      <c r="J8" s="345"/>
      <c r="K8" s="1076"/>
      <c r="L8" s="430"/>
      <c r="M8" s="333">
        <v>1320</v>
      </c>
      <c r="N8" s="185"/>
      <c r="O8" s="185"/>
      <c r="P8" s="335"/>
      <c r="Q8" s="303"/>
      <c r="R8" s="1608"/>
      <c r="S8" s="456">
        <f>'[14]Summ by Dept'!$Q$32</f>
        <v>1560</v>
      </c>
      <c r="T8" s="463"/>
    </row>
    <row r="9" spans="3:21" ht="15.75" x14ac:dyDescent="0.3">
      <c r="C9" s="498">
        <v>202</v>
      </c>
      <c r="D9" s="1061" t="s">
        <v>876</v>
      </c>
      <c r="E9" s="333"/>
      <c r="F9" s="185"/>
      <c r="G9" s="185"/>
      <c r="H9" s="185"/>
      <c r="I9" s="303">
        <f>[7]Sheet1!$AN$32</f>
        <v>450</v>
      </c>
      <c r="J9" s="345"/>
      <c r="K9" s="1076"/>
      <c r="L9" s="430"/>
      <c r="M9" s="333">
        <v>685.1</v>
      </c>
      <c r="N9" s="185"/>
      <c r="O9" s="185"/>
      <c r="P9" s="335"/>
      <c r="Q9" s="303"/>
      <c r="R9" s="1608"/>
      <c r="S9" s="463"/>
      <c r="T9" s="463"/>
    </row>
    <row r="10" spans="3:21" ht="15.75" x14ac:dyDescent="0.3">
      <c r="C10" s="498">
        <v>208</v>
      </c>
      <c r="D10" s="1061" t="s">
        <v>873</v>
      </c>
      <c r="E10" s="333"/>
      <c r="F10" s="185"/>
      <c r="G10" s="185"/>
      <c r="H10" s="185"/>
      <c r="I10" s="303">
        <f>[7]Sheet1!$AR$32</f>
        <v>11.64</v>
      </c>
      <c r="J10" s="345"/>
      <c r="K10" s="1076"/>
      <c r="L10" s="430"/>
      <c r="M10" s="333"/>
      <c r="N10" s="185"/>
      <c r="O10" s="185"/>
      <c r="P10" s="335"/>
      <c r="Q10" s="303"/>
      <c r="R10" s="1608"/>
      <c r="S10" s="463"/>
      <c r="T10" s="463"/>
    </row>
    <row r="11" spans="3:21" ht="15.75" x14ac:dyDescent="0.3">
      <c r="C11" s="276">
        <v>212</v>
      </c>
      <c r="D11" s="1062" t="s">
        <v>812</v>
      </c>
      <c r="E11" s="333"/>
      <c r="F11" s="185">
        <v>24.67</v>
      </c>
      <c r="G11" s="185"/>
      <c r="H11" s="185"/>
      <c r="I11" s="303">
        <f>[7]Sheet1!$AT$32</f>
        <v>14.99</v>
      </c>
      <c r="J11" s="345"/>
      <c r="K11" s="1076"/>
      <c r="L11" s="430"/>
      <c r="M11" s="333"/>
      <c r="N11" s="185"/>
      <c r="O11" s="185"/>
      <c r="P11" s="335"/>
      <c r="Q11" s="303"/>
      <c r="R11" s="1608"/>
      <c r="S11" s="463"/>
      <c r="T11" s="463"/>
      <c r="U11" s="76" t="s">
        <v>646</v>
      </c>
    </row>
    <row r="12" spans="3:21" ht="15.75" x14ac:dyDescent="0.3">
      <c r="C12" s="276">
        <v>214</v>
      </c>
      <c r="D12" s="1062" t="s">
        <v>874</v>
      </c>
      <c r="E12" s="333"/>
      <c r="F12" s="185"/>
      <c r="G12" s="185"/>
      <c r="H12" s="185"/>
      <c r="I12" s="303">
        <f>[7]Sheet1!$AV$32</f>
        <v>97.09</v>
      </c>
      <c r="J12" s="345"/>
      <c r="K12" s="1076"/>
      <c r="L12" s="430"/>
      <c r="M12" s="333">
        <v>9.3699999999999992</v>
      </c>
      <c r="N12" s="185"/>
      <c r="O12" s="185"/>
      <c r="P12" s="335"/>
      <c r="Q12" s="303"/>
      <c r="R12" s="1608"/>
      <c r="S12" s="456">
        <f>'[14]Summ by Dept'!$AV$32</f>
        <v>511.32000000000005</v>
      </c>
      <c r="T12" s="463"/>
    </row>
    <row r="13" spans="3:21" ht="15.75" x14ac:dyDescent="0.3">
      <c r="C13" s="276">
        <v>216</v>
      </c>
      <c r="D13" s="1062" t="s">
        <v>403</v>
      </c>
      <c r="E13" s="333"/>
      <c r="F13" s="185">
        <v>3003.17</v>
      </c>
      <c r="G13" s="185"/>
      <c r="H13" s="185"/>
      <c r="I13" s="303">
        <f>[7]Sheet1!$AX$32</f>
        <v>3491.1800000000003</v>
      </c>
      <c r="J13" s="345"/>
      <c r="K13" s="1076"/>
      <c r="L13" s="430"/>
      <c r="M13" s="333">
        <v>4869.26</v>
      </c>
      <c r="N13" s="185"/>
      <c r="O13" s="185"/>
      <c r="P13" s="335"/>
      <c r="Q13" s="303"/>
      <c r="R13" s="1608"/>
      <c r="S13" s="456">
        <f>'[14]Summ by Dept'!$AX$32</f>
        <v>13646.99</v>
      </c>
      <c r="T13" s="463"/>
    </row>
    <row r="14" spans="3:21" ht="15.75" x14ac:dyDescent="0.3">
      <c r="C14" s="498">
        <v>219</v>
      </c>
      <c r="D14" s="1061" t="s">
        <v>813</v>
      </c>
      <c r="E14" s="333"/>
      <c r="F14" s="185">
        <v>1091.1500000000001</v>
      </c>
      <c r="G14" s="185"/>
      <c r="H14" s="185"/>
      <c r="I14" s="303">
        <f>[7]Sheet1!$AZ$32</f>
        <v>2175.63</v>
      </c>
      <c r="J14" s="345"/>
      <c r="K14" s="1076"/>
      <c r="L14" s="430"/>
      <c r="M14" s="333">
        <v>349.16</v>
      </c>
      <c r="N14" s="185"/>
      <c r="O14" s="185"/>
      <c r="P14" s="335"/>
      <c r="Q14" s="303"/>
      <c r="R14" s="1608"/>
      <c r="S14" s="456">
        <f>'[14]Summ by Dept'!$AZ$32</f>
        <v>1619.1100000000001</v>
      </c>
      <c r="T14" s="463"/>
    </row>
    <row r="15" spans="3:21" ht="15.75" x14ac:dyDescent="0.3">
      <c r="C15" s="498">
        <v>220</v>
      </c>
      <c r="D15" s="1061" t="s">
        <v>875</v>
      </c>
      <c r="E15" s="333"/>
      <c r="F15" s="185"/>
      <c r="G15" s="185"/>
      <c r="H15" s="185"/>
      <c r="I15" s="303">
        <f>[7]Sheet1!$BA$32</f>
        <v>90.67</v>
      </c>
      <c r="J15" s="345"/>
      <c r="K15" s="1076"/>
      <c r="L15" s="430"/>
      <c r="M15" s="333">
        <v>272.01</v>
      </c>
      <c r="N15" s="185"/>
      <c r="O15" s="185"/>
      <c r="P15" s="335"/>
      <c r="Q15" s="303"/>
      <c r="R15" s="1608"/>
      <c r="S15" s="463"/>
      <c r="T15" s="463"/>
    </row>
    <row r="16" spans="3:21" ht="15.75" x14ac:dyDescent="0.3">
      <c r="C16" s="277">
        <v>231</v>
      </c>
      <c r="D16" s="1063" t="s">
        <v>1116</v>
      </c>
      <c r="E16" s="333"/>
      <c r="F16" s="185">
        <f>17759.73+350+230</f>
        <v>18339.73</v>
      </c>
      <c r="G16" s="185"/>
      <c r="H16" s="185"/>
      <c r="I16" s="303">
        <f>[7]Sheet1!$BD$32</f>
        <v>16194.740000000002</v>
      </c>
      <c r="J16" s="345"/>
      <c r="K16" s="1076"/>
      <c r="L16" s="430"/>
      <c r="M16" s="333">
        <f>10.98+9460.92+3305.12+514</f>
        <v>13291.02</v>
      </c>
      <c r="N16" s="185"/>
      <c r="O16" s="185"/>
      <c r="P16" s="335"/>
      <c r="Q16" s="303"/>
      <c r="R16" s="1608"/>
      <c r="S16" s="456">
        <f>'[14]Summ by Dept'!$BD$32</f>
        <v>64749.549999999988</v>
      </c>
      <c r="T16" s="463"/>
    </row>
    <row r="17" spans="3:20" ht="15.75" x14ac:dyDescent="0.3">
      <c r="C17" s="277">
        <v>234</v>
      </c>
      <c r="D17" s="1063" t="s">
        <v>814</v>
      </c>
      <c r="E17" s="333"/>
      <c r="F17" s="185">
        <v>421.87</v>
      </c>
      <c r="G17" s="185"/>
      <c r="H17" s="185"/>
      <c r="I17" s="442"/>
      <c r="J17" s="345"/>
      <c r="K17" s="1076"/>
      <c r="L17" s="430"/>
      <c r="M17" s="333"/>
      <c r="N17" s="185"/>
      <c r="O17" s="185"/>
      <c r="P17" s="335"/>
      <c r="Q17" s="303"/>
      <c r="R17" s="1608"/>
      <c r="S17" s="463"/>
      <c r="T17" s="463"/>
    </row>
    <row r="18" spans="3:20" ht="15.75" x14ac:dyDescent="0.3">
      <c r="C18" s="1008">
        <v>240</v>
      </c>
      <c r="D18" s="1063" t="s">
        <v>316</v>
      </c>
      <c r="E18" s="333"/>
      <c r="F18" s="185">
        <f>36674.99+5576.86</f>
        <v>42251.85</v>
      </c>
      <c r="G18" s="185"/>
      <c r="H18" s="185"/>
      <c r="I18" s="303">
        <f>[7]Sheet1!$BK$32</f>
        <v>43273.849999999991</v>
      </c>
      <c r="J18" s="345"/>
      <c r="K18" s="1076"/>
      <c r="L18" s="430"/>
      <c r="M18" s="333">
        <v>42836.18</v>
      </c>
      <c r="N18" s="185"/>
      <c r="O18" s="185"/>
      <c r="P18" s="335"/>
      <c r="Q18" s="303"/>
      <c r="R18" s="1608"/>
      <c r="S18" s="456">
        <f>'[14]Summ by Dept'!$BK$32</f>
        <v>52836.37000000001</v>
      </c>
      <c r="T18" s="463"/>
    </row>
    <row r="19" spans="3:20" ht="15.75" x14ac:dyDescent="0.3">
      <c r="C19" s="277" t="s">
        <v>957</v>
      </c>
      <c r="D19" s="1063" t="s">
        <v>958</v>
      </c>
      <c r="E19" s="333"/>
      <c r="F19" s="185">
        <v>2804.59</v>
      </c>
      <c r="G19" s="185"/>
      <c r="H19" s="185"/>
      <c r="I19" s="303">
        <f>[7]Sheet1!$BM$32+[7]Sheet1!$BN$32</f>
        <v>7739.7</v>
      </c>
      <c r="J19" s="345"/>
      <c r="K19" s="1076"/>
      <c r="L19" s="430"/>
      <c r="M19" s="333">
        <f>4249.19+21980.47</f>
        <v>26229.66</v>
      </c>
      <c r="N19" s="185"/>
      <c r="O19" s="185"/>
      <c r="P19" s="335"/>
      <c r="Q19" s="303"/>
      <c r="R19" s="1608">
        <v>1800</v>
      </c>
      <c r="S19" s="456">
        <f>'[14]Summ by Dept'!$BM$32+'[14]Summ by Dept'!$BN$32</f>
        <v>46816.649999999994</v>
      </c>
      <c r="T19" s="463"/>
    </row>
    <row r="20" spans="3:20" ht="15.75" x14ac:dyDescent="0.3">
      <c r="C20" s="277">
        <v>499</v>
      </c>
      <c r="D20" s="1063" t="s">
        <v>815</v>
      </c>
      <c r="E20" s="333"/>
      <c r="F20" s="185">
        <f>679.1</f>
        <v>679.1</v>
      </c>
      <c r="G20" s="185"/>
      <c r="H20" s="185"/>
      <c r="I20" s="303">
        <f>[7]Sheet1!$CM$32</f>
        <v>649.95000000000005</v>
      </c>
      <c r="J20" s="345"/>
      <c r="K20" s="1076"/>
      <c r="L20" s="430"/>
      <c r="M20" s="333">
        <v>87</v>
      </c>
      <c r="N20" s="185"/>
      <c r="O20" s="185"/>
      <c r="P20" s="335"/>
      <c r="Q20" s="303"/>
      <c r="R20" s="1608"/>
      <c r="S20" s="456">
        <f>'[14]Summ by Dept'!$CM$32</f>
        <v>1896</v>
      </c>
      <c r="T20" s="463"/>
    </row>
    <row r="21" spans="3:20" ht="15.75" x14ac:dyDescent="0.3">
      <c r="C21" s="278"/>
      <c r="D21" s="1063"/>
      <c r="E21" s="333"/>
      <c r="F21" s="185"/>
      <c r="G21" s="185"/>
      <c r="H21" s="185"/>
      <c r="I21" s="442"/>
      <c r="J21" s="345"/>
      <c r="K21" s="1076"/>
      <c r="L21" s="430"/>
      <c r="M21" s="333"/>
      <c r="N21" s="185"/>
      <c r="O21" s="185"/>
      <c r="P21" s="335"/>
      <c r="Q21" s="303"/>
      <c r="R21" s="1608"/>
      <c r="S21" s="463"/>
      <c r="T21" s="463"/>
    </row>
    <row r="22" spans="3:20" ht="15.75" x14ac:dyDescent="0.3">
      <c r="C22" s="277"/>
      <c r="D22" s="1063"/>
      <c r="E22" s="333"/>
      <c r="F22" s="185"/>
      <c r="G22" s="185"/>
      <c r="H22" s="185"/>
      <c r="I22" s="442"/>
      <c r="J22" s="345"/>
      <c r="K22" s="1076"/>
      <c r="L22" s="430"/>
      <c r="M22" s="333"/>
      <c r="N22" s="185"/>
      <c r="O22" s="185"/>
      <c r="P22" s="335"/>
      <c r="Q22" s="303"/>
      <c r="R22" s="1608"/>
      <c r="S22" s="463"/>
      <c r="T22" s="463"/>
    </row>
    <row r="23" spans="3:20" ht="15.75" x14ac:dyDescent="0.3">
      <c r="C23" s="278"/>
      <c r="D23" s="1063"/>
      <c r="E23" s="333"/>
      <c r="F23" s="185"/>
      <c r="G23" s="185"/>
      <c r="H23" s="185"/>
      <c r="I23" s="442"/>
      <c r="J23" s="345"/>
      <c r="K23" s="1076"/>
      <c r="L23" s="430"/>
      <c r="M23" s="333"/>
      <c r="N23" s="185"/>
      <c r="O23" s="185"/>
      <c r="P23" s="335"/>
      <c r="Q23" s="303"/>
      <c r="R23" s="1608"/>
      <c r="S23" s="463"/>
      <c r="T23" s="463"/>
    </row>
    <row r="24" spans="3:20" ht="15.75" x14ac:dyDescent="0.3">
      <c r="C24" s="277"/>
      <c r="D24" s="1063"/>
      <c r="E24" s="333"/>
      <c r="F24" s="185"/>
      <c r="G24" s="185"/>
      <c r="H24" s="185"/>
      <c r="I24" s="442"/>
      <c r="J24" s="345"/>
      <c r="K24" s="1076"/>
      <c r="L24" s="430"/>
      <c r="M24" s="333"/>
      <c r="N24" s="185"/>
      <c r="O24" s="185"/>
      <c r="P24" s="335"/>
      <c r="Q24" s="303"/>
      <c r="R24" s="1608"/>
      <c r="S24" s="463"/>
      <c r="T24" s="463"/>
    </row>
    <row r="25" spans="3:20" ht="15.75" x14ac:dyDescent="0.3">
      <c r="C25" s="277"/>
      <c r="D25" s="1063"/>
      <c r="E25" s="333"/>
      <c r="F25" s="185"/>
      <c r="G25" s="185"/>
      <c r="H25" s="185"/>
      <c r="I25" s="442"/>
      <c r="J25" s="345"/>
      <c r="K25" s="1076"/>
      <c r="L25" s="430"/>
      <c r="M25" s="333"/>
      <c r="N25" s="185"/>
      <c r="O25" s="185"/>
      <c r="P25" s="335"/>
      <c r="Q25" s="303"/>
      <c r="R25" s="1608"/>
      <c r="S25" s="463"/>
      <c r="T25" s="463"/>
    </row>
    <row r="26" spans="3:20" ht="15.75" x14ac:dyDescent="0.3">
      <c r="C26" s="277"/>
      <c r="D26" s="1063"/>
      <c r="E26" s="333"/>
      <c r="F26" s="185"/>
      <c r="G26" s="185"/>
      <c r="H26" s="185"/>
      <c r="I26" s="442"/>
      <c r="J26" s="345"/>
      <c r="K26" s="1076"/>
      <c r="L26" s="430"/>
      <c r="M26" s="333"/>
      <c r="N26" s="185"/>
      <c r="O26" s="185"/>
      <c r="P26" s="335"/>
      <c r="Q26" s="303"/>
      <c r="R26" s="1608"/>
      <c r="S26" s="463"/>
      <c r="T26" s="463"/>
    </row>
    <row r="27" spans="3:20" ht="15.75" x14ac:dyDescent="0.3">
      <c r="C27" s="499"/>
      <c r="D27" s="1064"/>
      <c r="E27" s="333"/>
      <c r="F27" s="185"/>
      <c r="G27" s="185"/>
      <c r="H27" s="185"/>
      <c r="I27" s="442"/>
      <c r="J27" s="345"/>
      <c r="K27" s="1076"/>
      <c r="L27" s="430"/>
      <c r="M27" s="333"/>
      <c r="N27" s="185"/>
      <c r="O27" s="185"/>
      <c r="P27" s="335"/>
      <c r="Q27" s="303"/>
      <c r="R27" s="1608"/>
      <c r="S27" s="463"/>
      <c r="T27" s="463"/>
    </row>
    <row r="28" spans="3:20" ht="15.75" x14ac:dyDescent="0.3">
      <c r="C28" s="278"/>
      <c r="D28" s="1063"/>
      <c r="E28" s="333"/>
      <c r="F28" s="185"/>
      <c r="G28" s="185"/>
      <c r="H28" s="185"/>
      <c r="I28" s="442"/>
      <c r="J28" s="345"/>
      <c r="K28" s="1076"/>
      <c r="L28" s="430"/>
      <c r="M28" s="333"/>
      <c r="N28" s="185"/>
      <c r="O28" s="185"/>
      <c r="P28" s="335"/>
      <c r="Q28" s="303"/>
      <c r="R28" s="1608"/>
      <c r="S28" s="463"/>
      <c r="T28" s="463"/>
    </row>
    <row r="29" spans="3:20" ht="15.75" x14ac:dyDescent="0.3">
      <c r="C29" s="277"/>
      <c r="D29" s="1065"/>
      <c r="E29" s="333"/>
      <c r="F29" s="185"/>
      <c r="G29" s="185"/>
      <c r="H29" s="185"/>
      <c r="I29" s="442"/>
      <c r="J29" s="345"/>
      <c r="K29" s="1076"/>
      <c r="L29" s="430"/>
      <c r="M29" s="333"/>
      <c r="N29" s="185"/>
      <c r="O29" s="185"/>
      <c r="P29" s="335"/>
      <c r="Q29" s="303"/>
      <c r="R29" s="1609"/>
      <c r="S29" s="463"/>
      <c r="T29" s="463"/>
    </row>
    <row r="30" spans="3:20" ht="16.5" thickBot="1" x14ac:dyDescent="0.35">
      <c r="C30" s="1009"/>
      <c r="D30" s="1066"/>
      <c r="E30" s="334"/>
      <c r="F30" s="193"/>
      <c r="G30" s="193"/>
      <c r="H30" s="193"/>
      <c r="I30" s="478"/>
      <c r="J30" s="421"/>
      <c r="K30" s="1080"/>
      <c r="L30" s="916"/>
      <c r="M30" s="334"/>
      <c r="N30" s="193"/>
      <c r="O30" s="193"/>
      <c r="P30" s="1084"/>
      <c r="Q30" s="306"/>
      <c r="R30" s="1608"/>
      <c r="S30" s="463"/>
      <c r="T30" s="463"/>
    </row>
    <row r="31" spans="3:20" ht="18.75" thickBot="1" x14ac:dyDescent="0.4">
      <c r="C31" s="329"/>
      <c r="D31" s="329" t="s">
        <v>415</v>
      </c>
      <c r="E31" s="1011">
        <f>SUM(E6:E30)</f>
        <v>63000</v>
      </c>
      <c r="F31" s="1011">
        <f>SUM(F6:F30)</f>
        <v>72845.36</v>
      </c>
      <c r="G31" s="1011">
        <f>E31-F31</f>
        <v>-9845.36</v>
      </c>
      <c r="H31" s="1083">
        <f>SUM(H6:H30)</f>
        <v>70000</v>
      </c>
      <c r="I31" s="1083">
        <f>SUM(I6:I30)</f>
        <v>77905.849999999991</v>
      </c>
      <c r="J31" s="1083">
        <f>H31-I31</f>
        <v>-7905.8499999999913</v>
      </c>
      <c r="K31" s="1082">
        <f>I31/H31</f>
        <v>1.1129407142857142</v>
      </c>
      <c r="L31" s="1083">
        <f>SUM(L6:L30)</f>
        <v>60000</v>
      </c>
      <c r="M31" s="1083">
        <f t="shared" ref="M31:Q31" si="0">SUM(M6:M30)</f>
        <v>89948.76</v>
      </c>
      <c r="N31" s="1083">
        <f>L31-M31</f>
        <v>-29948.759999999995</v>
      </c>
      <c r="O31" s="1083">
        <f t="shared" si="0"/>
        <v>60000</v>
      </c>
      <c r="P31" s="1083">
        <f t="shared" si="0"/>
        <v>60000</v>
      </c>
      <c r="Q31" s="1083">
        <f t="shared" si="0"/>
        <v>60000</v>
      </c>
      <c r="R31" s="1007">
        <f>SUM(R6:R30)</f>
        <v>61800</v>
      </c>
      <c r="S31" s="1007">
        <f>SUM(S7:S30)</f>
        <v>183725.99</v>
      </c>
      <c r="T31" s="1007">
        <f>S31-R31</f>
        <v>121925.98999999999</v>
      </c>
    </row>
    <row r="32" spans="3:20" ht="18" x14ac:dyDescent="0.35">
      <c r="D32" s="954"/>
    </row>
    <row r="33" spans="3:3" x14ac:dyDescent="0.25">
      <c r="C33" t="s">
        <v>1108</v>
      </c>
    </row>
    <row r="34" spans="3:3" x14ac:dyDescent="0.25">
      <c r="C34" t="s">
        <v>1117</v>
      </c>
    </row>
  </sheetData>
  <pageMargins left="0.7" right="0.7" top="0.75" bottom="0.75" header="0.3" footer="0.3"/>
  <pageSetup paperSize="5" scale="76" fitToHeight="0" orientation="portrait" r:id="rId1"/>
  <headerFooter>
    <oddHeader>&amp;RPAGE 10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2:V23"/>
  <sheetViews>
    <sheetView workbookViewId="0">
      <selection activeCell="D5" sqref="D5"/>
    </sheetView>
  </sheetViews>
  <sheetFormatPr defaultRowHeight="15" x14ac:dyDescent="0.25"/>
  <cols>
    <col min="4" max="4" width="56.42578125" customWidth="1"/>
    <col min="5" max="5" width="17.7109375" style="76" hidden="1" customWidth="1"/>
    <col min="6" max="6" width="19.5703125" style="76" hidden="1" customWidth="1"/>
    <col min="7" max="7" width="14" style="76" hidden="1" customWidth="1"/>
    <col min="8" max="8" width="22.28515625" style="76" hidden="1" customWidth="1"/>
    <col min="9" max="9" width="14.42578125" hidden="1" customWidth="1"/>
    <col min="10" max="10" width="13.7109375" hidden="1" customWidth="1"/>
    <col min="11" max="11" width="13.42578125" style="144" hidden="1" customWidth="1"/>
    <col min="12" max="12" width="19" style="76" hidden="1" customWidth="1"/>
    <col min="13" max="13" width="15.85546875" style="76" hidden="1" customWidth="1"/>
    <col min="14" max="14" width="15.7109375" style="76" hidden="1" customWidth="1"/>
    <col min="15" max="15" width="13.5703125" style="76" hidden="1" customWidth="1"/>
    <col min="16" max="16" width="15.140625" style="76" hidden="1" customWidth="1"/>
    <col min="17" max="17" width="16.42578125" style="76" hidden="1" customWidth="1"/>
    <col min="18" max="18" width="21" style="76" hidden="1" customWidth="1"/>
    <col min="19" max="19" width="21" style="76" customWidth="1"/>
    <col min="20" max="20" width="14.140625" customWidth="1"/>
    <col min="21" max="21" width="16.5703125" hidden="1" customWidth="1"/>
    <col min="22" max="22" width="18.28515625" style="76" customWidth="1"/>
  </cols>
  <sheetData>
    <row r="2" spans="3:22" ht="22.5" x14ac:dyDescent="0.4">
      <c r="C2" s="181"/>
      <c r="D2" s="1086" t="s">
        <v>445</v>
      </c>
      <c r="E2" s="919"/>
      <c r="F2" s="919"/>
      <c r="G2" s="919"/>
      <c r="H2" s="958">
        <f ca="1">TODAY()</f>
        <v>44259</v>
      </c>
      <c r="I2" s="758"/>
      <c r="J2" s="758"/>
      <c r="K2" s="758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</row>
    <row r="3" spans="3:22" ht="24.95" customHeight="1" x14ac:dyDescent="0.4">
      <c r="C3" s="20"/>
      <c r="D3" s="1078" t="s">
        <v>1155</v>
      </c>
      <c r="E3" s="919"/>
      <c r="F3" s="919"/>
      <c r="G3" s="919"/>
      <c r="H3" s="959">
        <f ca="1">NOW()</f>
        <v>44259.508154745374</v>
      </c>
      <c r="I3" s="758"/>
      <c r="J3" s="758"/>
      <c r="K3" s="758"/>
      <c r="L3" s="919"/>
      <c r="M3" s="919"/>
      <c r="N3" s="919"/>
      <c r="O3" s="919"/>
      <c r="P3" s="919"/>
      <c r="Q3" s="919"/>
      <c r="R3" s="919"/>
      <c r="S3" s="919"/>
      <c r="T3" s="919"/>
      <c r="U3" s="919"/>
      <c r="V3" s="919"/>
    </row>
    <row r="4" spans="3:22" ht="23.25" thickBot="1" x14ac:dyDescent="0.45">
      <c r="C4" s="157"/>
      <c r="D4" s="282" t="s">
        <v>1107</v>
      </c>
      <c r="E4" s="919"/>
      <c r="F4" s="919"/>
      <c r="G4" s="919"/>
      <c r="H4" s="958"/>
      <c r="I4" s="758"/>
      <c r="J4" s="758"/>
      <c r="K4" s="758"/>
      <c r="L4" s="919"/>
      <c r="M4" s="919"/>
      <c r="N4" s="919"/>
      <c r="O4" s="919"/>
      <c r="P4" s="919"/>
      <c r="Q4" s="919"/>
      <c r="R4" s="919"/>
      <c r="S4" s="919"/>
      <c r="T4" s="919"/>
      <c r="U4" s="919"/>
      <c r="V4" s="919"/>
    </row>
    <row r="5" spans="3:22" ht="74.25" thickBot="1" x14ac:dyDescent="0.4">
      <c r="C5" s="329" t="s">
        <v>631</v>
      </c>
      <c r="D5" s="329" t="s">
        <v>630</v>
      </c>
      <c r="E5" s="551" t="s">
        <v>836</v>
      </c>
      <c r="F5" s="819" t="s">
        <v>811</v>
      </c>
      <c r="G5" s="1011" t="s">
        <v>797</v>
      </c>
      <c r="H5" s="612" t="s">
        <v>855</v>
      </c>
      <c r="I5" s="1070" t="s">
        <v>780</v>
      </c>
      <c r="J5" s="1079" t="s">
        <v>853</v>
      </c>
      <c r="K5" s="1074" t="s">
        <v>854</v>
      </c>
      <c r="L5" s="551" t="s">
        <v>944</v>
      </c>
      <c r="M5" s="1428" t="s">
        <v>981</v>
      </c>
      <c r="N5" s="1428" t="s">
        <v>798</v>
      </c>
      <c r="O5" s="1428" t="s">
        <v>942</v>
      </c>
      <c r="P5" s="1428" t="s">
        <v>984</v>
      </c>
      <c r="Q5" s="1428" t="s">
        <v>943</v>
      </c>
      <c r="R5" s="1588" t="s">
        <v>1014</v>
      </c>
      <c r="S5" s="1588" t="s">
        <v>1078</v>
      </c>
      <c r="T5" s="1588" t="s">
        <v>1076</v>
      </c>
      <c r="U5" s="1588" t="s">
        <v>798</v>
      </c>
      <c r="V5" s="1696" t="s">
        <v>1097</v>
      </c>
    </row>
    <row r="6" spans="3:22" ht="15.75" x14ac:dyDescent="0.3">
      <c r="C6" s="498"/>
      <c r="D6" s="1061" t="s">
        <v>817</v>
      </c>
      <c r="E6" s="332">
        <v>26000</v>
      </c>
      <c r="F6" s="326"/>
      <c r="G6" s="326"/>
      <c r="H6" s="326">
        <v>34000</v>
      </c>
      <c r="I6" s="441"/>
      <c r="J6" s="963"/>
      <c r="K6" s="1075"/>
      <c r="L6" s="432">
        <v>10000</v>
      </c>
      <c r="M6" s="332"/>
      <c r="N6" s="326"/>
      <c r="O6" s="326">
        <v>10000</v>
      </c>
      <c r="P6" s="419"/>
      <c r="Q6" s="485">
        <f>O6</f>
        <v>10000</v>
      </c>
      <c r="R6" s="543"/>
      <c r="S6" s="1607">
        <v>40000</v>
      </c>
      <c r="T6" s="963"/>
      <c r="U6" s="963"/>
      <c r="V6" s="76">
        <v>22250</v>
      </c>
    </row>
    <row r="7" spans="3:22" ht="15.75" x14ac:dyDescent="0.3">
      <c r="C7" s="498">
        <v>153</v>
      </c>
      <c r="D7" s="1061" t="s">
        <v>402</v>
      </c>
      <c r="E7" s="333"/>
      <c r="F7" s="185">
        <v>1320</v>
      </c>
      <c r="G7" s="185"/>
      <c r="H7" s="185"/>
      <c r="I7" s="303">
        <f>[7]Sheet1!$Q$46</f>
        <v>1080</v>
      </c>
      <c r="J7" s="430"/>
      <c r="K7" s="1076"/>
      <c r="L7" s="345"/>
      <c r="M7" s="333">
        <v>1200</v>
      </c>
      <c r="N7" s="185"/>
      <c r="O7" s="185"/>
      <c r="P7" s="335"/>
      <c r="Q7" s="303"/>
      <c r="R7" s="456">
        <v>2880</v>
      </c>
      <c r="S7" s="1608"/>
      <c r="T7" s="345">
        <f>'[14]Summ by Dept'!$Q$46</f>
        <v>1560</v>
      </c>
      <c r="U7" s="430"/>
    </row>
    <row r="8" spans="3:22" ht="15.75" x14ac:dyDescent="0.3">
      <c r="C8" s="498">
        <v>219</v>
      </c>
      <c r="D8" s="1061" t="s">
        <v>813</v>
      </c>
      <c r="E8" s="333"/>
      <c r="F8" s="185">
        <v>53.68</v>
      </c>
      <c r="G8" s="185"/>
      <c r="H8" s="185"/>
      <c r="I8" s="303">
        <f>[7]Sheet1!$AZ$46</f>
        <v>55.24</v>
      </c>
      <c r="J8" s="430"/>
      <c r="K8" s="1076"/>
      <c r="L8" s="345"/>
      <c r="M8" s="333">
        <v>9.9499999999999993</v>
      </c>
      <c r="N8" s="185"/>
      <c r="O8" s="185"/>
      <c r="P8" s="335"/>
      <c r="Q8" s="303"/>
      <c r="R8" s="456"/>
      <c r="S8" s="1608"/>
      <c r="T8" s="430"/>
      <c r="U8" s="430"/>
    </row>
    <row r="9" spans="3:22" ht="15.75" x14ac:dyDescent="0.3">
      <c r="C9" s="277">
        <v>231</v>
      </c>
      <c r="D9" s="1063" t="s">
        <v>1015</v>
      </c>
      <c r="E9" s="333"/>
      <c r="F9" s="185">
        <v>2148.69</v>
      </c>
      <c r="G9" s="185"/>
      <c r="H9" s="185"/>
      <c r="I9" s="303">
        <f>[7]Sheet1!$BD$46</f>
        <v>1095</v>
      </c>
      <c r="J9" s="430"/>
      <c r="K9" s="1076"/>
      <c r="L9" s="345"/>
      <c r="M9" s="333">
        <v>514</v>
      </c>
      <c r="N9" s="185"/>
      <c r="O9" s="185"/>
      <c r="P9" s="335"/>
      <c r="Q9" s="303"/>
      <c r="R9" s="456"/>
      <c r="S9" s="1608"/>
      <c r="T9" s="345">
        <f>'[14]Summ by Dept'!$BD$46</f>
        <v>1400</v>
      </c>
      <c r="U9" s="430"/>
    </row>
    <row r="10" spans="3:22" ht="15.75" x14ac:dyDescent="0.3">
      <c r="C10" s="1008">
        <v>240</v>
      </c>
      <c r="D10" s="1063" t="s">
        <v>316</v>
      </c>
      <c r="E10" s="333"/>
      <c r="F10" s="185">
        <v>14940.02</v>
      </c>
      <c r="G10" s="185"/>
      <c r="H10" s="185"/>
      <c r="I10" s="303">
        <f>[7]Sheet1!$BK$46</f>
        <v>13496.689999999999</v>
      </c>
      <c r="J10" s="430"/>
      <c r="K10" s="1076"/>
      <c r="L10" s="345"/>
      <c r="M10" s="333">
        <v>13972.7</v>
      </c>
      <c r="N10" s="185"/>
      <c r="O10" s="185"/>
      <c r="P10" s="335"/>
      <c r="Q10" s="303"/>
      <c r="R10" s="456">
        <v>11616</v>
      </c>
      <c r="S10" s="1608"/>
      <c r="T10" s="345">
        <f>'[14]Summ by Dept'!$BK$46</f>
        <v>10318.560000000001</v>
      </c>
      <c r="U10" s="430"/>
    </row>
    <row r="11" spans="3:22" ht="15.75" x14ac:dyDescent="0.3">
      <c r="C11" s="1008">
        <v>250</v>
      </c>
      <c r="D11" s="1063" t="s">
        <v>1016</v>
      </c>
      <c r="E11" s="333"/>
      <c r="F11" s="185"/>
      <c r="G11" s="185"/>
      <c r="H11" s="185"/>
      <c r="I11" s="303">
        <f>[7]Sheet1!$BM$46</f>
        <v>246</v>
      </c>
      <c r="J11" s="430"/>
      <c r="K11" s="1076"/>
      <c r="L11" s="345"/>
      <c r="M11" s="333"/>
      <c r="N11" s="185"/>
      <c r="O11" s="185"/>
      <c r="P11" s="335"/>
      <c r="Q11" s="303"/>
      <c r="R11" s="456">
        <v>3424.32</v>
      </c>
      <c r="S11" s="1608"/>
      <c r="T11" s="430"/>
      <c r="U11" s="430"/>
    </row>
    <row r="12" spans="3:22" ht="15.75" x14ac:dyDescent="0.3">
      <c r="C12" s="277">
        <v>251</v>
      </c>
      <c r="D12" s="1063" t="s">
        <v>98</v>
      </c>
      <c r="E12" s="333"/>
      <c r="F12" s="185">
        <v>15358.7</v>
      </c>
      <c r="G12" s="185"/>
      <c r="H12" s="185"/>
      <c r="I12" s="303">
        <f>[7]Sheet1!$BN$46</f>
        <v>15214.209999999997</v>
      </c>
      <c r="J12" s="430"/>
      <c r="K12" s="1076"/>
      <c r="L12" s="345"/>
      <c r="M12" s="333">
        <f>23212.28+4514.52</f>
        <v>27726.799999999999</v>
      </c>
      <c r="N12" s="185"/>
      <c r="O12" s="185"/>
      <c r="P12" s="335"/>
      <c r="Q12" s="303"/>
      <c r="R12" s="456">
        <v>19200</v>
      </c>
      <c r="S12" s="1608"/>
      <c r="T12" s="345">
        <f>'[14]Summ by Dept'!$BN$46</f>
        <v>8978.4900000000016</v>
      </c>
      <c r="U12" s="430"/>
    </row>
    <row r="13" spans="3:22" ht="15.75" x14ac:dyDescent="0.3">
      <c r="C13" s="278"/>
      <c r="D13" s="1063"/>
      <c r="E13" s="333"/>
      <c r="F13" s="185"/>
      <c r="G13" s="185"/>
      <c r="H13" s="185"/>
      <c r="I13" s="442"/>
      <c r="J13" s="430"/>
      <c r="K13" s="1076"/>
      <c r="L13" s="345"/>
      <c r="M13" s="333"/>
      <c r="N13" s="185"/>
      <c r="O13" s="185"/>
      <c r="P13" s="335"/>
      <c r="Q13" s="303"/>
      <c r="R13" s="456"/>
      <c r="S13" s="1608"/>
      <c r="T13" s="430"/>
      <c r="U13" s="430"/>
    </row>
    <row r="14" spans="3:22" ht="15.75" x14ac:dyDescent="0.3">
      <c r="C14" s="277"/>
      <c r="D14" s="1063"/>
      <c r="E14" s="333"/>
      <c r="F14" s="185"/>
      <c r="G14" s="185"/>
      <c r="H14" s="185"/>
      <c r="I14" s="442"/>
      <c r="J14" s="430"/>
      <c r="K14" s="1076"/>
      <c r="L14" s="345"/>
      <c r="M14" s="333"/>
      <c r="N14" s="185"/>
      <c r="O14" s="185"/>
      <c r="P14" s="335"/>
      <c r="Q14" s="303"/>
      <c r="R14" s="456"/>
      <c r="S14" s="1608"/>
      <c r="T14" s="430"/>
      <c r="U14" s="430"/>
    </row>
    <row r="15" spans="3:22" ht="15.75" x14ac:dyDescent="0.3">
      <c r="C15" s="278"/>
      <c r="D15" s="1063"/>
      <c r="E15" s="333"/>
      <c r="F15" s="185"/>
      <c r="G15" s="185"/>
      <c r="H15" s="185"/>
      <c r="I15" s="442"/>
      <c r="J15" s="430"/>
      <c r="K15" s="1076"/>
      <c r="L15" s="345"/>
      <c r="M15" s="333"/>
      <c r="N15" s="185"/>
      <c r="O15" s="185"/>
      <c r="P15" s="335"/>
      <c r="Q15" s="303"/>
      <c r="R15" s="456"/>
      <c r="S15" s="1608"/>
      <c r="T15" s="430"/>
      <c r="U15" s="430"/>
    </row>
    <row r="16" spans="3:22" ht="15.75" x14ac:dyDescent="0.3">
      <c r="C16" s="277"/>
      <c r="D16" s="1063"/>
      <c r="E16" s="333"/>
      <c r="F16" s="185"/>
      <c r="G16" s="185"/>
      <c r="H16" s="185"/>
      <c r="I16" s="442"/>
      <c r="J16" s="430"/>
      <c r="K16" s="1076"/>
      <c r="L16" s="345"/>
      <c r="M16" s="333"/>
      <c r="N16" s="185"/>
      <c r="O16" s="185"/>
      <c r="P16" s="335"/>
      <c r="Q16" s="303"/>
      <c r="R16" s="456"/>
      <c r="S16" s="1608"/>
      <c r="T16" s="430"/>
      <c r="U16" s="430"/>
    </row>
    <row r="17" spans="3:21" ht="15.75" x14ac:dyDescent="0.3">
      <c r="C17" s="277"/>
      <c r="D17" s="1063"/>
      <c r="E17" s="333"/>
      <c r="F17" s="185"/>
      <c r="G17" s="185"/>
      <c r="H17" s="185"/>
      <c r="I17" s="442"/>
      <c r="J17" s="430"/>
      <c r="K17" s="1076"/>
      <c r="L17" s="345"/>
      <c r="M17" s="333"/>
      <c r="N17" s="185"/>
      <c r="O17" s="185"/>
      <c r="P17" s="335"/>
      <c r="Q17" s="303"/>
      <c r="R17" s="456"/>
      <c r="S17" s="1608"/>
      <c r="T17" s="430"/>
      <c r="U17" s="430"/>
    </row>
    <row r="18" spans="3:21" ht="15.75" x14ac:dyDescent="0.3">
      <c r="C18" s="277"/>
      <c r="D18" s="1063"/>
      <c r="E18" s="333"/>
      <c r="F18" s="185"/>
      <c r="G18" s="185"/>
      <c r="H18" s="185"/>
      <c r="I18" s="442"/>
      <c r="J18" s="430"/>
      <c r="K18" s="1076"/>
      <c r="L18" s="345"/>
      <c r="M18" s="333"/>
      <c r="N18" s="185"/>
      <c r="O18" s="185"/>
      <c r="P18" s="335"/>
      <c r="Q18" s="303"/>
      <c r="R18" s="456"/>
      <c r="S18" s="1608"/>
      <c r="T18" s="430"/>
      <c r="U18" s="430"/>
    </row>
    <row r="19" spans="3:21" ht="15.75" x14ac:dyDescent="0.3">
      <c r="C19" s="499"/>
      <c r="D19" s="1064"/>
      <c r="E19" s="333"/>
      <c r="F19" s="185"/>
      <c r="G19" s="185"/>
      <c r="H19" s="185"/>
      <c r="I19" s="442"/>
      <c r="J19" s="430"/>
      <c r="K19" s="1076"/>
      <c r="L19" s="345"/>
      <c r="M19" s="333"/>
      <c r="N19" s="185"/>
      <c r="O19" s="185"/>
      <c r="P19" s="335"/>
      <c r="Q19" s="303"/>
      <c r="R19" s="456"/>
      <c r="S19" s="1608"/>
      <c r="T19" s="430"/>
      <c r="U19" s="430"/>
    </row>
    <row r="20" spans="3:21" ht="15.75" x14ac:dyDescent="0.3">
      <c r="C20" s="278"/>
      <c r="D20" s="1063"/>
      <c r="E20" s="333"/>
      <c r="F20" s="185"/>
      <c r="G20" s="185"/>
      <c r="H20" s="185"/>
      <c r="I20" s="442"/>
      <c r="J20" s="430"/>
      <c r="K20" s="1076"/>
      <c r="L20" s="345"/>
      <c r="M20" s="333"/>
      <c r="N20" s="185"/>
      <c r="O20" s="185"/>
      <c r="P20" s="335"/>
      <c r="Q20" s="303"/>
      <c r="R20" s="456"/>
      <c r="S20" s="1608"/>
      <c r="T20" s="430"/>
      <c r="U20" s="430"/>
    </row>
    <row r="21" spans="3:21" ht="15.75" x14ac:dyDescent="0.3">
      <c r="C21" s="277"/>
      <c r="D21" s="1065"/>
      <c r="E21" s="333"/>
      <c r="F21" s="185"/>
      <c r="G21" s="185"/>
      <c r="H21" s="185"/>
      <c r="I21" s="442"/>
      <c r="J21" s="430"/>
      <c r="K21" s="1076"/>
      <c r="L21" s="345"/>
      <c r="M21" s="333"/>
      <c r="N21" s="185"/>
      <c r="O21" s="185"/>
      <c r="P21" s="335"/>
      <c r="Q21" s="303"/>
      <c r="R21" s="456"/>
      <c r="S21" s="1608"/>
      <c r="T21" s="430"/>
      <c r="U21" s="430"/>
    </row>
    <row r="22" spans="3:21" ht="16.5" thickBot="1" x14ac:dyDescent="0.35">
      <c r="C22" s="1009"/>
      <c r="D22" s="1066"/>
      <c r="E22" s="334"/>
      <c r="F22" s="193"/>
      <c r="G22" s="193"/>
      <c r="H22" s="193"/>
      <c r="I22" s="478"/>
      <c r="J22" s="916"/>
      <c r="K22" s="1080"/>
      <c r="L22" s="421"/>
      <c r="M22" s="334"/>
      <c r="N22" s="193"/>
      <c r="O22" s="193"/>
      <c r="P22" s="1084"/>
      <c r="Q22" s="306"/>
      <c r="R22" s="456"/>
      <c r="S22" s="1608"/>
      <c r="T22" s="976"/>
      <c r="U22" s="976"/>
    </row>
    <row r="23" spans="3:21" ht="18.75" thickBot="1" x14ac:dyDescent="0.4">
      <c r="C23" s="329"/>
      <c r="D23" s="329" t="s">
        <v>415</v>
      </c>
      <c r="E23" s="1011">
        <f>SUM(E6:E22)</f>
        <v>26000</v>
      </c>
      <c r="F23" s="1011">
        <f>SUM(F6:F22)</f>
        <v>33821.089999999997</v>
      </c>
      <c r="G23" s="1011">
        <f>E23-F23</f>
        <v>-7821.0899999999965</v>
      </c>
      <c r="H23" s="1083">
        <f>SUM(H6:H22)</f>
        <v>34000</v>
      </c>
      <c r="I23" s="1083">
        <f>SUM(I6:I22)</f>
        <v>31187.139999999996</v>
      </c>
      <c r="J23" s="1083">
        <f>H23-I23</f>
        <v>2812.8600000000042</v>
      </c>
      <c r="K23" s="1082">
        <f>I23/H23</f>
        <v>0.91726882352941164</v>
      </c>
      <c r="L23" s="1083">
        <f>SUM(L6:L22)</f>
        <v>10000</v>
      </c>
      <c r="M23" s="1083">
        <f t="shared" ref="M23:T23" si="0">SUM(M6:M22)</f>
        <v>43423.45</v>
      </c>
      <c r="N23" s="1083">
        <f>L23-M23</f>
        <v>-33423.449999999997</v>
      </c>
      <c r="O23" s="1083">
        <f t="shared" si="0"/>
        <v>10000</v>
      </c>
      <c r="P23" s="1083">
        <f t="shared" si="0"/>
        <v>0</v>
      </c>
      <c r="Q23" s="1083">
        <f t="shared" si="0"/>
        <v>10000</v>
      </c>
      <c r="R23" s="1083">
        <f t="shared" si="0"/>
        <v>37120.32</v>
      </c>
      <c r="S23" s="1083">
        <f t="shared" si="0"/>
        <v>40000</v>
      </c>
      <c r="T23" s="1083">
        <f t="shared" si="0"/>
        <v>22257.050000000003</v>
      </c>
      <c r="U23" s="1007">
        <f>T23-S23</f>
        <v>-17742.949999999997</v>
      </c>
    </row>
  </sheetData>
  <pageMargins left="0.7" right="0.7" top="0.75" bottom="0.75" header="0.3" footer="0.3"/>
  <pageSetup paperSize="5" scale="76" fitToHeight="0" orientation="portrait" r:id="rId1"/>
  <headerFooter>
    <oddHeader>&amp;RPAGE 11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0"/>
  <sheetViews>
    <sheetView workbookViewId="0">
      <selection activeCell="Q14" sqref="Q14"/>
    </sheetView>
  </sheetViews>
  <sheetFormatPr defaultRowHeight="15" x14ac:dyDescent="0.25"/>
  <cols>
    <col min="1" max="1" width="12.42578125" customWidth="1"/>
    <col min="2" max="2" width="51" customWidth="1"/>
    <col min="3" max="3" width="14.7109375" style="144" hidden="1" customWidth="1"/>
    <col min="4" max="4" width="16.5703125" hidden="1" customWidth="1"/>
    <col min="5" max="5" width="15.140625" hidden="1" customWidth="1"/>
    <col min="6" max="6" width="21.140625" hidden="1" customWidth="1"/>
    <col min="7" max="7" width="15.28515625" hidden="1" customWidth="1"/>
    <col min="8" max="8" width="14.42578125" hidden="1" customWidth="1"/>
    <col min="9" max="9" width="17.7109375" style="144" hidden="1" customWidth="1"/>
    <col min="10" max="10" width="19.5703125" hidden="1" customWidth="1"/>
    <col min="11" max="11" width="16.28515625" hidden="1" customWidth="1"/>
    <col min="12" max="12" width="14" hidden="1" customWidth="1"/>
    <col min="13" max="13" width="16.85546875" hidden="1" customWidth="1"/>
    <col min="14" max="14" width="18.5703125" hidden="1" customWidth="1"/>
    <col min="15" max="15" width="19.85546875" hidden="1" customWidth="1"/>
    <col min="16" max="16" width="19.28515625" customWidth="1"/>
    <col min="17" max="17" width="16.28515625" customWidth="1"/>
    <col min="18" max="18" width="16.140625" hidden="1" customWidth="1"/>
    <col min="19" max="19" width="18.5703125" style="204" customWidth="1"/>
  </cols>
  <sheetData>
    <row r="1" spans="1:19" ht="22.5" customHeight="1" x14ac:dyDescent="0.4">
      <c r="A1" s="19"/>
      <c r="B1" s="1087" t="s">
        <v>399</v>
      </c>
      <c r="C1" s="174"/>
      <c r="D1" s="174"/>
      <c r="E1" s="174"/>
      <c r="F1" s="958">
        <f ca="1">TODAY()</f>
        <v>44259</v>
      </c>
      <c r="G1" s="168"/>
      <c r="H1" s="168"/>
      <c r="I1" s="168"/>
      <c r="J1" s="168"/>
      <c r="K1" s="168"/>
      <c r="L1" s="168"/>
      <c r="M1" s="168"/>
      <c r="N1" s="168"/>
      <c r="P1" s="20"/>
      <c r="Q1" s="20"/>
      <c r="R1" s="20"/>
      <c r="S1" s="1697"/>
    </row>
    <row r="2" spans="1:19" ht="24.95" customHeight="1" x14ac:dyDescent="0.4">
      <c r="A2" s="20"/>
      <c r="B2" s="1078" t="s">
        <v>1155</v>
      </c>
      <c r="C2" s="168"/>
      <c r="D2" s="168"/>
      <c r="E2" s="168"/>
      <c r="F2" s="959">
        <f ca="1">NOW()</f>
        <v>44259.508154745374</v>
      </c>
      <c r="G2" s="168"/>
      <c r="H2" s="168"/>
      <c r="I2" s="168"/>
      <c r="J2" s="168"/>
      <c r="K2" s="168"/>
      <c r="L2" s="168"/>
      <c r="M2" s="168"/>
      <c r="N2" s="168"/>
      <c r="P2" s="20"/>
      <c r="Q2" s="20"/>
      <c r="R2" s="20"/>
      <c r="S2" s="1697"/>
    </row>
    <row r="3" spans="1:19" ht="22.5" customHeight="1" thickBot="1" x14ac:dyDescent="0.45">
      <c r="A3" s="474"/>
      <c r="B3" s="282" t="s">
        <v>1107</v>
      </c>
      <c r="C3" s="169"/>
      <c r="D3" s="169"/>
      <c r="E3" s="169"/>
      <c r="F3" s="168"/>
      <c r="G3" s="168"/>
      <c r="H3" s="168"/>
      <c r="I3" s="168"/>
      <c r="J3" s="168"/>
      <c r="K3" s="168"/>
      <c r="L3" s="168"/>
      <c r="M3" s="168"/>
      <c r="N3" s="168"/>
      <c r="P3" s="20"/>
      <c r="Q3" s="20"/>
      <c r="R3" s="20"/>
      <c r="S3" s="1697"/>
    </row>
    <row r="4" spans="1:19" s="93" customFormat="1" ht="68.099999999999994" customHeight="1" thickBot="1" x14ac:dyDescent="0.4">
      <c r="A4" s="329" t="s">
        <v>631</v>
      </c>
      <c r="B4" s="329" t="s">
        <v>630</v>
      </c>
      <c r="C4" s="551" t="s">
        <v>836</v>
      </c>
      <c r="D4" s="819" t="s">
        <v>811</v>
      </c>
      <c r="E4" s="190" t="s">
        <v>797</v>
      </c>
      <c r="F4" s="612" t="s">
        <v>855</v>
      </c>
      <c r="G4" s="1070" t="s">
        <v>780</v>
      </c>
      <c r="H4" s="1079" t="s">
        <v>853</v>
      </c>
      <c r="I4" s="1074" t="s">
        <v>854</v>
      </c>
      <c r="J4" s="551" t="s">
        <v>944</v>
      </c>
      <c r="K4" s="1428" t="s">
        <v>981</v>
      </c>
      <c r="L4" s="1312" t="s">
        <v>798</v>
      </c>
      <c r="M4" s="1312" t="s">
        <v>942</v>
      </c>
      <c r="N4" s="1312" t="s">
        <v>943</v>
      </c>
      <c r="O4" s="1588" t="s">
        <v>1014</v>
      </c>
      <c r="P4" s="1588" t="s">
        <v>1079</v>
      </c>
      <c r="Q4" s="1505" t="s">
        <v>780</v>
      </c>
      <c r="R4" s="1505" t="s">
        <v>798</v>
      </c>
      <c r="S4" s="1698" t="s">
        <v>1097</v>
      </c>
    </row>
    <row r="5" spans="1:19" ht="20.100000000000001" customHeight="1" thickBot="1" x14ac:dyDescent="0.35">
      <c r="A5" s="297">
        <v>113</v>
      </c>
      <c r="B5" s="629" t="s">
        <v>101</v>
      </c>
      <c r="C5" s="485">
        <v>2521</v>
      </c>
      <c r="D5" s="630">
        <v>2327.08</v>
      </c>
      <c r="E5" s="702">
        <f>C5-D5</f>
        <v>193.92000000000007</v>
      </c>
      <c r="F5" s="332">
        <v>2521</v>
      </c>
      <c r="G5" s="419">
        <f>[7]Sheet1!$E$60</f>
        <v>2268.864</v>
      </c>
      <c r="H5" s="432">
        <f>F5-G5</f>
        <v>252.13599999999997</v>
      </c>
      <c r="I5" s="1075">
        <f>G5/F5</f>
        <v>0.89998571995239984</v>
      </c>
      <c r="J5" s="432">
        <f>F5</f>
        <v>2521</v>
      </c>
      <c r="K5" s="1093">
        <v>2165.44</v>
      </c>
      <c r="L5" s="326">
        <f>J5-K5</f>
        <v>355.55999999999995</v>
      </c>
      <c r="M5" s="327">
        <v>2521</v>
      </c>
      <c r="N5" s="485">
        <f t="shared" ref="N5:P6" si="0">M5</f>
        <v>2521</v>
      </c>
      <c r="O5" s="76">
        <f t="shared" si="0"/>
        <v>2521</v>
      </c>
      <c r="P5" s="76">
        <f t="shared" si="0"/>
        <v>2521</v>
      </c>
      <c r="Q5" s="76">
        <f>'[14]Summ by Dept'!$E$60</f>
        <v>2401.3779999999997</v>
      </c>
      <c r="R5" s="76">
        <f>Q5-P5</f>
        <v>-119.6220000000003</v>
      </c>
      <c r="S5" s="204">
        <v>2521</v>
      </c>
    </row>
    <row r="6" spans="1:19" ht="20.100000000000001" customHeight="1" thickBot="1" x14ac:dyDescent="0.35">
      <c r="A6" s="549">
        <v>124</v>
      </c>
      <c r="B6" s="627" t="s">
        <v>106</v>
      </c>
      <c r="C6" s="306">
        <v>193</v>
      </c>
      <c r="D6" s="628">
        <v>178.18</v>
      </c>
      <c r="E6" s="702">
        <f>C6-D6</f>
        <v>14.819999999999993</v>
      </c>
      <c r="F6" s="334">
        <v>193</v>
      </c>
      <c r="G6" s="1084">
        <f>[7]Sheet1!$K$60</f>
        <v>173.57399999999998</v>
      </c>
      <c r="H6" s="372">
        <f t="shared" ref="H6:H7" si="1">F6-G6</f>
        <v>19.426000000000016</v>
      </c>
      <c r="I6" s="1080">
        <f t="shared" ref="I6:I7" si="2">G6/F6</f>
        <v>0.89934715025906731</v>
      </c>
      <c r="J6" s="372">
        <f>F6</f>
        <v>193</v>
      </c>
      <c r="K6" s="1098">
        <v>165.65</v>
      </c>
      <c r="L6" s="193">
        <f>J6-K6</f>
        <v>27.349999999999994</v>
      </c>
      <c r="M6" s="97">
        <v>193</v>
      </c>
      <c r="N6" s="306">
        <f t="shared" si="0"/>
        <v>193</v>
      </c>
      <c r="O6" s="76">
        <f t="shared" si="0"/>
        <v>193</v>
      </c>
      <c r="P6" s="76">
        <f t="shared" si="0"/>
        <v>193</v>
      </c>
      <c r="Q6" s="76">
        <f>'[14]Summ by Dept'!$K$60</f>
        <v>188.88799999999995</v>
      </c>
      <c r="R6" s="76">
        <f>Q6-P6</f>
        <v>-4.1120000000000516</v>
      </c>
      <c r="S6" s="1197">
        <v>193</v>
      </c>
    </row>
    <row r="7" spans="1:19" ht="20.100000000000001" customHeight="1" thickBot="1" x14ac:dyDescent="0.3">
      <c r="A7" s="219"/>
      <c r="B7" s="639" t="s">
        <v>400</v>
      </c>
      <c r="C7" s="1011">
        <f>SUM(C5:C6)</f>
        <v>2714</v>
      </c>
      <c r="D7" s="638">
        <f>SUM(D5:D6)</f>
        <v>2505.2599999999998</v>
      </c>
      <c r="E7" s="703">
        <f>SUM(E5:E6)</f>
        <v>208.74000000000007</v>
      </c>
      <c r="F7" s="831">
        <f>SUM(F5:F6)</f>
        <v>2714</v>
      </c>
      <c r="G7" s="703">
        <f>SUM(G5:G6)</f>
        <v>2442.4380000000001</v>
      </c>
      <c r="H7" s="1007">
        <f t="shared" si="1"/>
        <v>271.5619999999999</v>
      </c>
      <c r="I7" s="1246">
        <f t="shared" si="2"/>
        <v>0.8999403095062638</v>
      </c>
      <c r="J7" s="1007">
        <f>SUM(J5:J6)</f>
        <v>2714</v>
      </c>
      <c r="K7" s="1007">
        <f t="shared" ref="K7:O7" si="3">SUM(K5:K6)</f>
        <v>2331.09</v>
      </c>
      <c r="L7" s="1007">
        <f t="shared" si="3"/>
        <v>382.90999999999997</v>
      </c>
      <c r="M7" s="1007">
        <f t="shared" si="3"/>
        <v>2714</v>
      </c>
      <c r="N7" s="1007">
        <f t="shared" si="3"/>
        <v>2714</v>
      </c>
      <c r="O7" s="1007">
        <f t="shared" si="3"/>
        <v>2714</v>
      </c>
      <c r="P7" s="1007">
        <f>SUM(P5:P6)</f>
        <v>2714</v>
      </c>
      <c r="Q7" s="1007">
        <f t="shared" ref="Q7" si="4">SUM(Q5:Q6)</f>
        <v>2590.2659999999996</v>
      </c>
      <c r="R7" s="1007">
        <f>Q7-P7</f>
        <v>-123.73400000000038</v>
      </c>
      <c r="S7" s="1699">
        <f>SUM(S5:S6)</f>
        <v>2714</v>
      </c>
    </row>
    <row r="10" spans="1:19" x14ac:dyDescent="0.25">
      <c r="B10" t="s">
        <v>651</v>
      </c>
    </row>
  </sheetData>
  <phoneticPr fontId="20" type="noConversion"/>
  <pageMargins left="0.75" right="0.75" top="1" bottom="1" header="0.5" footer="0.5"/>
  <pageSetup paperSize="5" scale="75" orientation="portrait" r:id="rId1"/>
  <headerFooter alignWithMargins="0">
    <oddHeader>&amp;RPAGE  12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65</vt:i4>
      </vt:variant>
    </vt:vector>
  </HeadingPairs>
  <TitlesOfParts>
    <vt:vector size="120" baseType="lpstr">
      <vt:lpstr>Sheet1</vt:lpstr>
      <vt:lpstr>TABLE OF CONTENTS</vt:lpstr>
      <vt:lpstr>BUDGET SUMMARY SUGGESSTIONS</vt:lpstr>
      <vt:lpstr>GENERAL FUND SUMMARY</vt:lpstr>
      <vt:lpstr>GENERAL FUND REVENUE</vt:lpstr>
      <vt:lpstr>51100</vt:lpstr>
      <vt:lpstr>51101 COURTHSE EXP</vt:lpstr>
      <vt:lpstr>51102 CRT HOUSE ANNEX II</vt:lpstr>
      <vt:lpstr>51210</vt:lpstr>
      <vt:lpstr>51212</vt:lpstr>
      <vt:lpstr>51220</vt:lpstr>
      <vt:lpstr>51260</vt:lpstr>
      <vt:lpstr>51300</vt:lpstr>
      <vt:lpstr>51600</vt:lpstr>
      <vt:lpstr>51910</vt:lpstr>
      <vt:lpstr>51920</vt:lpstr>
      <vt:lpstr>52100</vt:lpstr>
      <vt:lpstr>52300</vt:lpstr>
      <vt:lpstr>52900</vt:lpstr>
      <vt:lpstr>52950</vt:lpstr>
      <vt:lpstr>55100</vt:lpstr>
      <vt:lpstr>55200</vt:lpstr>
      <vt:lpstr>55450</vt:lpstr>
      <vt:lpstr>56300</vt:lpstr>
      <vt:lpstr>57000</vt:lpstr>
      <vt:lpstr>57100</vt:lpstr>
      <vt:lpstr>58100</vt:lpstr>
      <vt:lpstr>58201</vt:lpstr>
      <vt:lpstr>59200</vt:lpstr>
      <vt:lpstr>111 Revenue-Other Sources</vt:lpstr>
      <vt:lpstr>111-53700-Expenses</vt:lpstr>
      <vt:lpstr>111-Summary</vt:lpstr>
      <vt:lpstr>050-Debt Reduction</vt:lpstr>
      <vt:lpstr>112 Rev &amp; Exp Other Source-Uses</vt:lpstr>
      <vt:lpstr>113-Rev and other sources</vt:lpstr>
      <vt:lpstr>116-Revenue &amp; Exp</vt:lpstr>
      <vt:lpstr>117-Rev-Other Sources &amp; Expense</vt:lpstr>
      <vt:lpstr>118-Revenue &amp; Expenses</vt:lpstr>
      <vt:lpstr>119-Revenues &amp; Expenses</vt:lpstr>
      <vt:lpstr>152 Civil Defense</vt:lpstr>
      <vt:lpstr>511-SOLID WASTE </vt:lpstr>
      <vt:lpstr>MOTOR VEHICLE TRAINING</vt:lpstr>
      <vt:lpstr>MANUFACTURED HOMES</vt:lpstr>
      <vt:lpstr>SHERIFF CONDEMNATION</vt:lpstr>
      <vt:lpstr>PC DIALYSIS RENTAL</vt:lpstr>
      <vt:lpstr>2007 PBA WARRANT (JAIL LEASE)</vt:lpstr>
      <vt:lpstr>2007 GEN OBLIG WRNT</vt:lpstr>
      <vt:lpstr>2010-A GEN OBLIG WRNT (HOTEL)</vt:lpstr>
      <vt:lpstr>2010-B GEN OBLIG WRNT (RENOVAT)</vt:lpstr>
      <vt:lpstr>2013-A GEN OBLIG WRNT</vt:lpstr>
      <vt:lpstr>2013-B GEN OBLIG WRNT</vt:lpstr>
      <vt:lpstr>DEBT SERVICE</vt:lpstr>
      <vt:lpstr>PC HISTORIC JAIL FUND</vt:lpstr>
      <vt:lpstr>REBUILD AMERICA</vt:lpstr>
      <vt:lpstr>FEDERAL EXCHANGE</vt:lpstr>
      <vt:lpstr>'050-Debt Reduction'!Print_Area</vt:lpstr>
      <vt:lpstr>'111 Revenue-Other Sources'!Print_Area</vt:lpstr>
      <vt:lpstr>'111-53700-Expenses'!Print_Area</vt:lpstr>
      <vt:lpstr>'111-Summary'!Print_Area</vt:lpstr>
      <vt:lpstr>'112 Rev &amp; Exp Other Source-Uses'!Print_Area</vt:lpstr>
      <vt:lpstr>'113-Rev and other sources'!Print_Area</vt:lpstr>
      <vt:lpstr>'116-Revenue &amp; Exp'!Print_Area</vt:lpstr>
      <vt:lpstr>'117-Rev-Other Sources &amp; Expense'!Print_Area</vt:lpstr>
      <vt:lpstr>'118-Revenue &amp; Expenses'!Print_Area</vt:lpstr>
      <vt:lpstr>'119-Revenues &amp; Expenses'!Print_Area</vt:lpstr>
      <vt:lpstr>'152 Civil Defense'!Print_Area</vt:lpstr>
      <vt:lpstr>'2007 GEN OBLIG WRNT'!Print_Area</vt:lpstr>
      <vt:lpstr>'2007 PBA WARRANT (JAIL LEASE)'!Print_Area</vt:lpstr>
      <vt:lpstr>'2010-A GEN OBLIG WRNT (HOTEL)'!Print_Area</vt:lpstr>
      <vt:lpstr>'2010-B GEN OBLIG WRNT (RENOVAT)'!Print_Area</vt:lpstr>
      <vt:lpstr>'2013-A GEN OBLIG WRNT'!Print_Area</vt:lpstr>
      <vt:lpstr>'2013-B GEN OBLIG WRNT'!Print_Area</vt:lpstr>
      <vt:lpstr>'51100'!Print_Area</vt:lpstr>
      <vt:lpstr>'51101 COURTHSE EXP'!Print_Area</vt:lpstr>
      <vt:lpstr>'51102 CRT HOUSE ANNEX II'!Print_Area</vt:lpstr>
      <vt:lpstr>'511-SOLID WASTE '!Print_Area</vt:lpstr>
      <vt:lpstr>'51210'!Print_Area</vt:lpstr>
      <vt:lpstr>'51212'!Print_Area</vt:lpstr>
      <vt:lpstr>'51220'!Print_Area</vt:lpstr>
      <vt:lpstr>'51260'!Print_Area</vt:lpstr>
      <vt:lpstr>'51300'!Print_Area</vt:lpstr>
      <vt:lpstr>'51600'!Print_Area</vt:lpstr>
      <vt:lpstr>'51910'!Print_Area</vt:lpstr>
      <vt:lpstr>'51920'!Print_Area</vt:lpstr>
      <vt:lpstr>'52100'!Print_Area</vt:lpstr>
      <vt:lpstr>'52300'!Print_Area</vt:lpstr>
      <vt:lpstr>'52900'!Print_Area</vt:lpstr>
      <vt:lpstr>'52950'!Print_Area</vt:lpstr>
      <vt:lpstr>'55100'!Print_Area</vt:lpstr>
      <vt:lpstr>'55200'!Print_Area</vt:lpstr>
      <vt:lpstr>'55450'!Print_Area</vt:lpstr>
      <vt:lpstr>'56300'!Print_Area</vt:lpstr>
      <vt:lpstr>'57000'!Print_Area</vt:lpstr>
      <vt:lpstr>'57100'!Print_Area</vt:lpstr>
      <vt:lpstr>'58100'!Print_Area</vt:lpstr>
      <vt:lpstr>'58201'!Print_Area</vt:lpstr>
      <vt:lpstr>'59200'!Print_Area</vt:lpstr>
      <vt:lpstr>'BUDGET SUMMARY SUGGESSTIONS'!Print_Area</vt:lpstr>
      <vt:lpstr>'DEBT SERVICE'!Print_Area</vt:lpstr>
      <vt:lpstr>'FEDERAL EXCHANGE'!Print_Area</vt:lpstr>
      <vt:lpstr>'GENERAL FUND REVENUE'!Print_Area</vt:lpstr>
      <vt:lpstr>'GENERAL FUND SUMMARY'!Print_Area</vt:lpstr>
      <vt:lpstr>'MANUFACTURED HOMES'!Print_Area</vt:lpstr>
      <vt:lpstr>'MOTOR VEHICLE TRAINING'!Print_Area</vt:lpstr>
      <vt:lpstr>'PC DIALYSIS RENTAL'!Print_Area</vt:lpstr>
      <vt:lpstr>'PC HISTORIC JAIL FUND'!Print_Area</vt:lpstr>
      <vt:lpstr>'REBUILD AMERICA'!Print_Area</vt:lpstr>
      <vt:lpstr>'SHERIFF CONDEMNATION'!Print_Area</vt:lpstr>
      <vt:lpstr>'TABLE OF CONTENTS'!Print_Area</vt:lpstr>
      <vt:lpstr>'111 Revenue-Other Sources'!Print_Titles</vt:lpstr>
      <vt:lpstr>'111-53700-Expenses'!Print_Titles</vt:lpstr>
      <vt:lpstr>'152 Civil Defense'!Print_Titles</vt:lpstr>
      <vt:lpstr>'51100'!Print_Titles</vt:lpstr>
      <vt:lpstr>'51300'!Print_Titles</vt:lpstr>
      <vt:lpstr>'51600'!Print_Titles</vt:lpstr>
      <vt:lpstr>'51920'!Print_Titles</vt:lpstr>
      <vt:lpstr>'52100'!Print_Titles</vt:lpstr>
      <vt:lpstr>'56300'!Print_Titles</vt:lpstr>
      <vt:lpstr>'GENERAL FUND REVENUE'!Print_Titles</vt:lpstr>
      <vt:lpstr>'GENERAL FUND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tamaracash</dc:creator>
  <cp:lastModifiedBy>Robinson, Taren</cp:lastModifiedBy>
  <cp:lastPrinted>2021-02-23T17:39:05Z</cp:lastPrinted>
  <dcterms:created xsi:type="dcterms:W3CDTF">2008-01-10T14:15:38Z</dcterms:created>
  <dcterms:modified xsi:type="dcterms:W3CDTF">2021-03-04T18:13:15Z</dcterms:modified>
</cp:coreProperties>
</file>